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.czerwonka\Documents\uchwały VIII\801-900\bip\"/>
    </mc:Choice>
  </mc:AlternateContent>
  <workbookProtection workbookPassword="A2A1" lockStructure="1"/>
  <bookViews>
    <workbookView xWindow="0" yWindow="0" windowWidth="28800" windowHeight="12330" tabRatio="841" activeTab="1"/>
  </bookViews>
  <sheets>
    <sheet name="T1 wodociag 2022-2026" sheetId="72" r:id="rId1"/>
    <sheet name="T2 kanalizacja 2022-2026" sheetId="97" r:id="rId2"/>
    <sheet name="T3 WPI 2022-2026" sheetId="77" state="hidden" r:id="rId3"/>
    <sheet name="Załącznik B przepływy" sheetId="81" state="hidden" r:id="rId4"/>
    <sheet name="Tabela nr 3 zbiorcza" sheetId="106" r:id="rId5"/>
    <sheet name="T3A do uchwały 21.05.2015" sheetId="92" state="hidden" r:id="rId6"/>
    <sheet name="T3A do uchwały 21.05.2015 (2)" sheetId="101" state="hidden" r:id="rId7"/>
    <sheet name="Wyliczenia Polna" sheetId="114" state="hidden" r:id="rId8"/>
    <sheet name="Tabela A porówn. planów" sheetId="99" state="hidden" r:id="rId9"/>
    <sheet name="Tabela nr 4 new" sheetId="118" state="hidden" r:id="rId10"/>
    <sheet name="T4 WPI 2022-2026" sheetId="82" state="hidden" r:id="rId11"/>
    <sheet name="Pokrycia" sheetId="117" state="hidden" r:id="rId12"/>
    <sheet name="Zał. A Porównanie" sheetId="109" state="hidden" r:id="rId13"/>
    <sheet name="Załącznik D NIE" sheetId="111" state="hidden" r:id="rId14"/>
    <sheet name="Załącznik Dnew" sheetId="112" state="hidden" r:id="rId15"/>
    <sheet name="Załącznik C" sheetId="110" state="hidden" r:id="rId16"/>
    <sheet name="Tab. 3 Porównanie" sheetId="121" state="hidden" r:id="rId17"/>
    <sheet name="pożyczki.dotacje" sheetId="80" state="hidden" r:id="rId18"/>
    <sheet name="Arkusz2" sheetId="95" state="hidden" r:id="rId19"/>
    <sheet name="Arkusz3" sheetId="96" state="hidden" r:id="rId20"/>
    <sheet name="tabele do tekstu" sheetId="100" state="hidden" r:id="rId21"/>
    <sheet name="Amortyzacja" sheetId="102" state="hidden" r:id="rId22"/>
    <sheet name="Arkusz7" sheetId="120" state="hidden" r:id="rId23"/>
    <sheet name="WPI_23-08-2016" sheetId="107" state="hidden" r:id="rId24"/>
    <sheet name="Arkusz1" sheetId="104" state="hidden" r:id="rId25"/>
    <sheet name="pożyczka WFOŚiGW - prognoza" sheetId="108" state="hidden" r:id="rId26"/>
    <sheet name="Arkusz4" sheetId="115" state="hidden" r:id="rId27"/>
    <sheet name="Arkusz5" sheetId="116" state="hidden" r:id="rId28"/>
    <sheet name="Arkusz6" sheetId="119" state="hidden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fss2" localSheetId="0">#REF!</definedName>
    <definedName name="__fss2" localSheetId="1">#REF!</definedName>
    <definedName name="__fss2" localSheetId="10">#REF!</definedName>
    <definedName name="__fss2" localSheetId="4">#REF!</definedName>
    <definedName name="__mod23" localSheetId="0">#REF!</definedName>
    <definedName name="__mod23" localSheetId="1">#REF!</definedName>
    <definedName name="__mod23" localSheetId="10">#REF!</definedName>
    <definedName name="__mod23" localSheetId="4">#REF!</definedName>
    <definedName name="__mod25375" localSheetId="0">#REF!</definedName>
    <definedName name="__mod25375" localSheetId="1">#REF!</definedName>
    <definedName name="__mod25375" localSheetId="10">#REF!</definedName>
    <definedName name="__mod25375" localSheetId="4">#REF!</definedName>
    <definedName name="__mod345" localSheetId="0">#REF!</definedName>
    <definedName name="__mod345" localSheetId="1">#REF!</definedName>
    <definedName name="__mod345" localSheetId="10">#REF!</definedName>
    <definedName name="__mod345" localSheetId="4">#REF!</definedName>
    <definedName name="__mod46" localSheetId="0">#REF!</definedName>
    <definedName name="__mod46" localSheetId="1">#REF!</definedName>
    <definedName name="__mod46" localSheetId="10">#REF!</definedName>
    <definedName name="__mod46" localSheetId="4">#REF!</definedName>
    <definedName name="__qq1" localSheetId="0">#REF!</definedName>
    <definedName name="__qq1" localSheetId="1">#REF!</definedName>
    <definedName name="__qq1" localSheetId="10">#REF!</definedName>
    <definedName name="__qq1" localSheetId="4">#REF!</definedName>
    <definedName name="__qq2" localSheetId="17">'[1]Tabela Nr 1'!#REF!</definedName>
    <definedName name="__qq2" localSheetId="0">'T1 wodociag 2022-2026'!#REF!</definedName>
    <definedName name="__qq2" localSheetId="1">#REF!</definedName>
    <definedName name="__qq2" localSheetId="10">#REF!</definedName>
    <definedName name="__qq2" localSheetId="4">#REF!</definedName>
    <definedName name="__qq2" localSheetId="3">'[1]Tabela Nr 1'!#REF!</definedName>
    <definedName name="__qq25" localSheetId="17">#REF!</definedName>
    <definedName name="__qq25" localSheetId="0">#REF!</definedName>
    <definedName name="__qq25" localSheetId="1">#REF!</definedName>
    <definedName name="__qq25" localSheetId="10">#REF!</definedName>
    <definedName name="__qq25" localSheetId="4">#REF!</definedName>
    <definedName name="__qq25" localSheetId="3">#REF!</definedName>
    <definedName name="__qq3" localSheetId="17">#REF!</definedName>
    <definedName name="__qq3" localSheetId="0">#REF!</definedName>
    <definedName name="__qq3" localSheetId="1">#REF!</definedName>
    <definedName name="__qq3" localSheetId="10">#REF!</definedName>
    <definedName name="__qq3" localSheetId="4">#REF!</definedName>
    <definedName name="__qq3" localSheetId="3">#REF!</definedName>
    <definedName name="__qq35" localSheetId="0">#REF!</definedName>
    <definedName name="__qq35" localSheetId="1">#REF!</definedName>
    <definedName name="__qq35" localSheetId="10">#REF!</definedName>
    <definedName name="__qq35" localSheetId="4">#REF!</definedName>
    <definedName name="__tys1" localSheetId="17">#REF!</definedName>
    <definedName name="__tys1" localSheetId="0">#REF!</definedName>
    <definedName name="__tys1" localSheetId="1">#REF!</definedName>
    <definedName name="__tys1" localSheetId="10">#REF!</definedName>
    <definedName name="__tys1" localSheetId="4">#REF!</definedName>
    <definedName name="__tys1" localSheetId="3">#REF!</definedName>
    <definedName name="__tys2" localSheetId="17">#REF!</definedName>
    <definedName name="__tys2" localSheetId="0">#REF!</definedName>
    <definedName name="__tys2" localSheetId="1">#REF!</definedName>
    <definedName name="__tys2" localSheetId="10">#REF!</definedName>
    <definedName name="__tys2" localSheetId="4">#REF!</definedName>
    <definedName name="__tys2" localSheetId="3">#REF!</definedName>
    <definedName name="__tys25" localSheetId="0">#REF!</definedName>
    <definedName name="__tys25" localSheetId="1">#REF!</definedName>
    <definedName name="__tys25" localSheetId="10">#REF!</definedName>
    <definedName name="__tys25" localSheetId="4">#REF!</definedName>
    <definedName name="__tys3" localSheetId="0">#REF!</definedName>
    <definedName name="__tys3" localSheetId="1">#REF!</definedName>
    <definedName name="__tys3" localSheetId="10">#REF!</definedName>
    <definedName name="__tys3" localSheetId="4">#REF!</definedName>
    <definedName name="__tys35" localSheetId="0">#REF!</definedName>
    <definedName name="__tys35" localSheetId="1">#REF!</definedName>
    <definedName name="__tys35" localSheetId="10">#REF!</definedName>
    <definedName name="__tys35" localSheetId="4">#REF!</definedName>
    <definedName name="__ws70" localSheetId="0">#REF!</definedName>
    <definedName name="__ws70" localSheetId="1">#REF!</definedName>
    <definedName name="__ws70" localSheetId="10">#REF!</definedName>
    <definedName name="__ws70" localSheetId="4">#REF!</definedName>
    <definedName name="_fss2" localSheetId="0">#REF!</definedName>
    <definedName name="_fss2" localSheetId="1">#REF!</definedName>
    <definedName name="_fss2" localSheetId="10">#REF!</definedName>
    <definedName name="_fss2" localSheetId="4">#REF!</definedName>
    <definedName name="_mod23" localSheetId="0">#REF!</definedName>
    <definedName name="_mod23" localSheetId="1">#REF!</definedName>
    <definedName name="_mod23" localSheetId="10">#REF!</definedName>
    <definedName name="_mod23" localSheetId="4">#REF!</definedName>
    <definedName name="_mod25375" localSheetId="0">#REF!</definedName>
    <definedName name="_mod25375" localSheetId="1">#REF!</definedName>
    <definedName name="_mod25375" localSheetId="10">#REF!</definedName>
    <definedName name="_mod25375" localSheetId="4">#REF!</definedName>
    <definedName name="_mod345" localSheetId="0">#REF!</definedName>
    <definedName name="_mod345" localSheetId="1">#REF!</definedName>
    <definedName name="_mod345" localSheetId="10">#REF!</definedName>
    <definedName name="_mod345" localSheetId="4">#REF!</definedName>
    <definedName name="_mod46" localSheetId="0">#REF!</definedName>
    <definedName name="_mod46" localSheetId="1">#REF!</definedName>
    <definedName name="_mod46" localSheetId="10">#REF!</definedName>
    <definedName name="_mod46" localSheetId="4">#REF!</definedName>
    <definedName name="_qq1" localSheetId="0">#REF!</definedName>
    <definedName name="_qq1" localSheetId="1">#REF!</definedName>
    <definedName name="_qq1" localSheetId="10">#REF!</definedName>
    <definedName name="_qq1" localSheetId="4">#REF!</definedName>
    <definedName name="_qq2" localSheetId="17">'[2]Tabela Nr 1'!#REF!</definedName>
    <definedName name="_qq2" localSheetId="3">'[2]Tabela Nr 1'!#REF!</definedName>
    <definedName name="_qq25" localSheetId="17">#REF!</definedName>
    <definedName name="_qq25" localSheetId="0">#REF!</definedName>
    <definedName name="_qq25" localSheetId="1">#REF!</definedName>
    <definedName name="_qq25" localSheetId="10">#REF!</definedName>
    <definedName name="_qq25" localSheetId="4">#REF!</definedName>
    <definedName name="_qq25" localSheetId="3">#REF!</definedName>
    <definedName name="_qq3" localSheetId="17">#REF!</definedName>
    <definedName name="_qq3" localSheetId="0">#REF!</definedName>
    <definedName name="_qq3" localSheetId="1">#REF!</definedName>
    <definedName name="_qq3" localSheetId="10">#REF!</definedName>
    <definedName name="_qq3" localSheetId="4">#REF!</definedName>
    <definedName name="_qq3" localSheetId="3">#REF!</definedName>
    <definedName name="_qq35" localSheetId="0">#REF!</definedName>
    <definedName name="_qq35" localSheetId="1">#REF!</definedName>
    <definedName name="_qq35" localSheetId="10">#REF!</definedName>
    <definedName name="_qq35" localSheetId="4">#REF!</definedName>
    <definedName name="_tys1" localSheetId="17">#REF!</definedName>
    <definedName name="_tys1" localSheetId="0">#REF!</definedName>
    <definedName name="_tys1" localSheetId="1">'T2 kanalizacja 2022-2026'!#REF!</definedName>
    <definedName name="_tys1" localSheetId="10">#REF!</definedName>
    <definedName name="_tys1" localSheetId="4">#REF!</definedName>
    <definedName name="_tys1" localSheetId="3">#REF!</definedName>
    <definedName name="_tys2" localSheetId="0">#REF!</definedName>
    <definedName name="_tys2" localSheetId="1">#REF!</definedName>
    <definedName name="_tys2" localSheetId="10">#REF!</definedName>
    <definedName name="_tys2" localSheetId="4">#REF!</definedName>
    <definedName name="_tys25" localSheetId="0">#REF!</definedName>
    <definedName name="_tys25" localSheetId="1">#REF!</definedName>
    <definedName name="_tys25" localSheetId="10">#REF!</definedName>
    <definedName name="_tys25" localSheetId="4">#REF!</definedName>
    <definedName name="_tys3" localSheetId="0">#REF!</definedName>
    <definedName name="_tys3" localSheetId="1">#REF!</definedName>
    <definedName name="_tys3" localSheetId="10">#REF!</definedName>
    <definedName name="_tys3" localSheetId="4">#REF!</definedName>
    <definedName name="_tys35" localSheetId="0">#REF!</definedName>
    <definedName name="_tys35" localSheetId="1">#REF!</definedName>
    <definedName name="_tys35" localSheetId="10">#REF!</definedName>
    <definedName name="_tys35" localSheetId="4">#REF!</definedName>
    <definedName name="_ws70" localSheetId="0">#REF!</definedName>
    <definedName name="_ws70" localSheetId="1">#REF!</definedName>
    <definedName name="_ws70" localSheetId="10">#REF!</definedName>
    <definedName name="_ws70" localSheetId="4">#REF!</definedName>
    <definedName name="_xlnm.Database" localSheetId="4">#REF!</definedName>
    <definedName name="_xlnm.Database" localSheetId="23">#REF!</definedName>
    <definedName name="_xlnm.Database" localSheetId="12">#REF!</definedName>
    <definedName name="_xlnm.Database" localSheetId="15">#REF!</definedName>
    <definedName name="_xlnm.Database" localSheetId="14">#REF!</definedName>
    <definedName name="_xlnm.Database">#REF!</definedName>
    <definedName name="E" localSheetId="0">#REF!</definedName>
    <definedName name="E" localSheetId="1">#REF!</definedName>
    <definedName name="E" localSheetId="10">#REF!</definedName>
    <definedName name="E" localSheetId="4">#REF!</definedName>
    <definedName name="EE" localSheetId="0">#REF!</definedName>
    <definedName name="EE" localSheetId="1">#REF!</definedName>
    <definedName name="EE" localSheetId="10">#REF!</definedName>
    <definedName name="EE" localSheetId="4">#REF!</definedName>
    <definedName name="EEE" localSheetId="0">#REF!</definedName>
    <definedName name="EEE" localSheetId="1">#REF!</definedName>
    <definedName name="EEE" localSheetId="10">#REF!</definedName>
    <definedName name="EEE" localSheetId="4">#REF!</definedName>
    <definedName name="EG" localSheetId="0">#REF!</definedName>
    <definedName name="EG" localSheetId="1">#REF!</definedName>
    <definedName name="EG" localSheetId="10">#REF!</definedName>
    <definedName name="EG" localSheetId="4">#REF!</definedName>
    <definedName name="EH" localSheetId="0">#REF!</definedName>
    <definedName name="EH" localSheetId="1">#REF!</definedName>
    <definedName name="EH" localSheetId="10">#REF!</definedName>
    <definedName name="EH" localSheetId="4">#REF!</definedName>
    <definedName name="EK" localSheetId="0">#REF!</definedName>
    <definedName name="EK" localSheetId="1">#REF!</definedName>
    <definedName name="EK" localSheetId="10">#REF!</definedName>
    <definedName name="EK" localSheetId="4">#REF!</definedName>
    <definedName name="En" localSheetId="0">#REF!</definedName>
    <definedName name="En" localSheetId="1">#REF!</definedName>
    <definedName name="En" localSheetId="10">#REF!</definedName>
    <definedName name="En" localSheetId="4">#REF!</definedName>
    <definedName name="EnE" localSheetId="0">#REF!</definedName>
    <definedName name="EnE" localSheetId="1">#REF!</definedName>
    <definedName name="EnE" localSheetId="10">#REF!</definedName>
    <definedName name="EnE" localSheetId="4">#REF!</definedName>
    <definedName name="EP" localSheetId="0">#REF!</definedName>
    <definedName name="EP" localSheetId="1">#REF!</definedName>
    <definedName name="EP" localSheetId="10">#REF!</definedName>
    <definedName name="EP" localSheetId="4">#REF!</definedName>
    <definedName name="ES" localSheetId="0">#REF!</definedName>
    <definedName name="ES" localSheetId="1">#REF!</definedName>
    <definedName name="ES" localSheetId="10">#REF!</definedName>
    <definedName name="ES" localSheetId="4">#REF!</definedName>
    <definedName name="EU" localSheetId="0">#REF!</definedName>
    <definedName name="EU" localSheetId="1">#REF!</definedName>
    <definedName name="EU" localSheetId="10">#REF!</definedName>
    <definedName name="EU" localSheetId="4">#REF!</definedName>
    <definedName name="EW" localSheetId="0">#REF!</definedName>
    <definedName name="EW" localSheetId="1">#REF!</definedName>
    <definedName name="EW" localSheetId="10">#REF!</definedName>
    <definedName name="EW" localSheetId="4">#REF!</definedName>
    <definedName name="EX" localSheetId="0">#REF!</definedName>
    <definedName name="EX" localSheetId="1">#REF!</definedName>
    <definedName name="EX" localSheetId="10">#REF!</definedName>
    <definedName name="EX" localSheetId="4">#REF!</definedName>
    <definedName name="fs" localSheetId="0">#REF!</definedName>
    <definedName name="fs" localSheetId="1">#REF!</definedName>
    <definedName name="fs" localSheetId="10">#REF!</definedName>
    <definedName name="fs" localSheetId="4">#REF!</definedName>
    <definedName name="fss" localSheetId="17">#REF!</definedName>
    <definedName name="fss" localSheetId="0">#REF!</definedName>
    <definedName name="fss" localSheetId="1">#REF!</definedName>
    <definedName name="fss" localSheetId="10">#REF!</definedName>
    <definedName name="fss" localSheetId="4">#REF!</definedName>
    <definedName name="fss" localSheetId="3">#REF!</definedName>
    <definedName name="_xlnm.Print_Area" localSheetId="21">Amortyzacja!$B$2:$O$71</definedName>
    <definedName name="_xlnm.Print_Area" localSheetId="25">'pożyczka WFOŚiGW - prognoza'!$A$3:$K$9</definedName>
    <definedName name="_xlnm.Print_Area" localSheetId="17">pożyczki.dotacje!$B$1:$M$57</definedName>
    <definedName name="_xlnm.Print_Area" localSheetId="0">'T1 wodociag 2022-2026'!$A$2:$W$90</definedName>
    <definedName name="_xlnm.Print_Area" localSheetId="1">'T2 kanalizacja 2022-2026'!$A$2:$W$95</definedName>
    <definedName name="_xlnm.Print_Area" localSheetId="2">'T3 WPI 2022-2026'!$A$2:$Z$34</definedName>
    <definedName name="_xlnm.Print_Area" localSheetId="5">'T3A do uchwały 21.05.2015'!$A$1:$AG$18</definedName>
    <definedName name="_xlnm.Print_Area" localSheetId="6">'T3A do uchwały 21.05.2015 (2)'!$A$1:$AF$18</definedName>
    <definedName name="_xlnm.Print_Area" localSheetId="10">'T4 WPI 2022-2026'!$A$1:$L$32</definedName>
    <definedName name="_xlnm.Print_Area" localSheetId="16">'Tab. 3 Porównanie'!$B$1:$I$76</definedName>
    <definedName name="_xlnm.Print_Area" localSheetId="8">'Tabela A porówn. planów'!$A$1:$L$38</definedName>
    <definedName name="_xlnm.Print_Area" localSheetId="4">'Tabela nr 3 zbiorcza'!$A$1:$L$26</definedName>
    <definedName name="_xlnm.Print_Area" localSheetId="9">'Tabela nr 4 new'!$A$1:$J$22</definedName>
    <definedName name="_xlnm.Print_Area" localSheetId="23">'WPI_23-08-2016'!$A$1:$AC$36</definedName>
    <definedName name="_xlnm.Print_Area" localSheetId="7">'Wyliczenia Polna'!$A$1:$E$10</definedName>
    <definedName name="_xlnm.Print_Area" localSheetId="12">'Zał. A Porównanie'!$A$3:$X$33</definedName>
    <definedName name="_xlnm.Print_Area" localSheetId="3">'Załącznik B przepływy'!$B$1:$N$58</definedName>
    <definedName name="_xlnm.Print_Area" localSheetId="15">'Załącznik C'!$A$1:$U$22</definedName>
    <definedName name="_xlnm.Print_Area" localSheetId="13">'Załącznik D NIE'!$A$1:$J$27</definedName>
    <definedName name="_xlnm.Print_Area" localSheetId="14">'Załącznik Dnew'!$A$1:$J$28</definedName>
    <definedName name="PLAN" localSheetId="4">#REF!</definedName>
    <definedName name="PLAN" localSheetId="23">#REF!</definedName>
    <definedName name="PLAN" localSheetId="12">#REF!</definedName>
    <definedName name="PLAN" localSheetId="15">#REF!</definedName>
    <definedName name="PLAN" localSheetId="14">#REF!</definedName>
    <definedName name="PLAN">#REF!</definedName>
    <definedName name="qq" localSheetId="17">#REF!</definedName>
    <definedName name="qq" localSheetId="0">'T1 wodociag 2022-2026'!#REF!</definedName>
    <definedName name="qq" localSheetId="10">#REF!</definedName>
    <definedName name="qq" localSheetId="4">#REF!</definedName>
    <definedName name="qq" localSheetId="3">#REF!</definedName>
    <definedName name="qqx" localSheetId="0">#REF!</definedName>
    <definedName name="qqx" localSheetId="1">#REF!</definedName>
    <definedName name="qqx" localSheetId="10">#REF!</definedName>
    <definedName name="qqx" localSheetId="4">#REF!</definedName>
    <definedName name="sp" localSheetId="0">#REF!</definedName>
    <definedName name="sp" localSheetId="1">#REF!</definedName>
    <definedName name="sp" localSheetId="10">#REF!</definedName>
    <definedName name="sp" localSheetId="4">#REF!</definedName>
    <definedName name="TT" localSheetId="17">#REF!</definedName>
    <definedName name="TT" localSheetId="0">#REF!</definedName>
    <definedName name="TT" localSheetId="1">#REF!</definedName>
    <definedName name="TT" localSheetId="10">#REF!</definedName>
    <definedName name="TT" localSheetId="4">#REF!</definedName>
    <definedName name="TT" localSheetId="3">#REF!</definedName>
    <definedName name="tys" localSheetId="17">#REF!</definedName>
    <definedName name="tys" localSheetId="0">'T1 wodociag 2022-2026'!#REF!</definedName>
    <definedName name="tys" localSheetId="1">#REF!</definedName>
    <definedName name="tys" localSheetId="10">#REF!</definedName>
    <definedName name="tys" localSheetId="4">#REF!</definedName>
    <definedName name="tys" localSheetId="3">#REF!</definedName>
    <definedName name="tys1x" localSheetId="0">#REF!</definedName>
    <definedName name="tys1x" localSheetId="1">#REF!</definedName>
    <definedName name="tys1x" localSheetId="10">#REF!</definedName>
    <definedName name="tys1x" localSheetId="4">#REF!</definedName>
    <definedName name="_xlnm.Print_Titles" localSheetId="0">'T1 wodociag 2022-2026'!$1:$7</definedName>
    <definedName name="_xlnm.Print_Titles" localSheetId="1">'T2 kanalizacja 2022-2026'!$1:$7</definedName>
    <definedName name="_xlnm.Print_Titles" localSheetId="2">'T3 WPI 2022-2026'!$2:$9</definedName>
    <definedName name="_xlnm.Print_Titles" localSheetId="5">'T3A do uchwały 21.05.2015'!$1:$5</definedName>
    <definedName name="_xlnm.Print_Titles" localSheetId="6">'T3A do uchwały 21.05.2015 (2)'!$1:$5</definedName>
    <definedName name="_xlnm.Print_Titles" localSheetId="16">'Tab. 3 Porównanie'!$2:$3</definedName>
    <definedName name="_xlnm.Print_Titles" localSheetId="23">'WPI_23-08-2016'!$A$1:$C$65536,'WPI_23-08-2016'!$A$1:$IV$6</definedName>
    <definedName name="_xlnm.Print_Titles" localSheetId="3">'Załącznik B przepływy'!$1:$5</definedName>
    <definedName name="wen" localSheetId="17">#REF!</definedName>
    <definedName name="wen" localSheetId="0">#REF!</definedName>
    <definedName name="wen" localSheetId="1">#REF!</definedName>
    <definedName name="wen" localSheetId="10">#REF!</definedName>
    <definedName name="wen" localSheetId="4">#REF!</definedName>
    <definedName name="wen" localSheetId="3">#REF!</definedName>
    <definedName name="zzz163" localSheetId="6">'T1 wodociag 2022-2026'!#REF!</definedName>
    <definedName name="zzz163" localSheetId="4">'T1 wodociag 2022-2026'!#REF!</definedName>
    <definedName name="zzz163" localSheetId="12">'[3]T1 wodociag 30.09.2014'!#REF!</definedName>
    <definedName name="zzz163" localSheetId="15">'[3]T1 wodociag 30.09.2014'!#REF!</definedName>
    <definedName name="zzz163" localSheetId="14">'T1 wodociag 2022-2026'!#REF!</definedName>
    <definedName name="zzz163">'T1 wodociag 2022-2026'!#REF!</definedName>
  </definedNames>
  <calcPr calcId="191029" fullPrecision="0"/>
  <fileRecoveryPr autoRecover="0"/>
</workbook>
</file>

<file path=xl/calcChain.xml><?xml version="1.0" encoding="utf-8"?>
<calcChain xmlns="http://schemas.openxmlformats.org/spreadsheetml/2006/main">
  <c r="D76" i="72" l="1"/>
  <c r="T20" i="106" l="1"/>
  <c r="T46" i="100" l="1"/>
  <c r="T45" i="100"/>
  <c r="T47" i="100" l="1"/>
  <c r="H26" i="121"/>
  <c r="G26" i="121"/>
  <c r="E26" i="121"/>
  <c r="D26" i="121"/>
  <c r="O32" i="77" l="1"/>
  <c r="O30" i="77"/>
  <c r="O29" i="77"/>
  <c r="O20" i="77"/>
  <c r="O19" i="77"/>
  <c r="L32" i="77"/>
  <c r="L27" i="77"/>
  <c r="L26" i="77"/>
  <c r="L24" i="77"/>
  <c r="L25" i="77"/>
  <c r="L21" i="77"/>
  <c r="L20" i="77"/>
  <c r="L19" i="77"/>
  <c r="L17" i="77"/>
  <c r="R30" i="77"/>
  <c r="X32" i="77"/>
  <c r="U32" i="77"/>
  <c r="R32" i="77"/>
  <c r="O6" i="102"/>
  <c r="N6" i="102"/>
  <c r="L13" i="77" l="1"/>
  <c r="L34" i="77" s="1"/>
  <c r="D13" i="77"/>
  <c r="D92" i="97"/>
  <c r="D88" i="97"/>
  <c r="D26" i="97"/>
  <c r="D61" i="97" s="1"/>
  <c r="D89" i="72"/>
  <c r="D64" i="72"/>
  <c r="D85" i="72" s="1"/>
  <c r="D14" i="72"/>
  <c r="D49" i="72" s="1"/>
  <c r="D18" i="97"/>
  <c r="D94" i="97" s="1"/>
  <c r="U84" i="97"/>
  <c r="R49" i="97"/>
  <c r="F17" i="109"/>
  <c r="E17" i="109"/>
  <c r="X28" i="109"/>
  <c r="X26" i="109"/>
  <c r="X24" i="109"/>
  <c r="X22" i="109"/>
  <c r="X20" i="109"/>
  <c r="X15" i="109"/>
  <c r="X13" i="109"/>
  <c r="X11" i="109"/>
  <c r="X9" i="109"/>
  <c r="W28" i="109"/>
  <c r="W26" i="109"/>
  <c r="W24" i="109"/>
  <c r="W22" i="109"/>
  <c r="W20" i="109"/>
  <c r="W15" i="109"/>
  <c r="W13" i="109"/>
  <c r="W11" i="109"/>
  <c r="W9" i="109"/>
  <c r="E30" i="109"/>
  <c r="F30" i="109"/>
  <c r="D28" i="109"/>
  <c r="D26" i="109"/>
  <c r="D24" i="109"/>
  <c r="D22" i="109"/>
  <c r="D20" i="109"/>
  <c r="D15" i="109"/>
  <c r="D13" i="109"/>
  <c r="D11" i="109"/>
  <c r="D9" i="109"/>
  <c r="U17" i="109"/>
  <c r="T17" i="109"/>
  <c r="R17" i="109"/>
  <c r="Q17" i="109"/>
  <c r="O17" i="109"/>
  <c r="N17" i="109"/>
  <c r="L17" i="109"/>
  <c r="K17" i="109"/>
  <c r="I17" i="109"/>
  <c r="H17" i="109"/>
  <c r="G9" i="109"/>
  <c r="H26" i="100"/>
  <c r="H46" i="100" s="1"/>
  <c r="H45" i="100" s="1"/>
  <c r="F32" i="109" l="1"/>
  <c r="D30" i="109"/>
  <c r="D17" i="109"/>
  <c r="X17" i="109"/>
  <c r="E32" i="109"/>
  <c r="W17" i="109"/>
  <c r="D32" i="109" l="1"/>
  <c r="Q42" i="81" l="1"/>
  <c r="P42" i="81"/>
  <c r="R42" i="81" s="1"/>
  <c r="P41" i="81"/>
  <c r="R40" i="81" s="1"/>
  <c r="P40" i="81"/>
  <c r="Q40" i="81" s="1"/>
  <c r="G26" i="100"/>
  <c r="G46" i="100" s="1"/>
  <c r="G45" i="100" s="1"/>
  <c r="L37" i="80"/>
  <c r="L64" i="72"/>
  <c r="P64" i="72"/>
  <c r="M4" i="102" l="1"/>
  <c r="N4" i="102"/>
  <c r="P7" i="102"/>
  <c r="P4" i="102" s="1"/>
  <c r="O7" i="102"/>
  <c r="O4" i="102" s="1"/>
  <c r="M9" i="81" l="1"/>
  <c r="L9" i="81"/>
  <c r="K9" i="81"/>
  <c r="AH99" i="97" l="1"/>
  <c r="K84" i="97" l="1"/>
  <c r="K81" i="97" l="1"/>
  <c r="L87" i="97"/>
  <c r="I84" i="72" l="1"/>
  <c r="T84" i="97" l="1"/>
  <c r="T48" i="97"/>
  <c r="N65" i="97"/>
  <c r="T44" i="97"/>
  <c r="J45" i="80"/>
  <c r="L6" i="102"/>
  <c r="L4" i="102" s="1"/>
  <c r="J9" i="81" s="1"/>
  <c r="S8" i="102"/>
  <c r="K44" i="80" l="1"/>
  <c r="L44" i="80"/>
  <c r="N42" i="81" s="1"/>
  <c r="H43" i="80"/>
  <c r="K17" i="80"/>
  <c r="K37" i="80" s="1"/>
  <c r="J17" i="80"/>
  <c r="J37" i="80" s="1"/>
  <c r="I12" i="97"/>
  <c r="V88" i="97"/>
  <c r="U88" i="97"/>
  <c r="T27" i="109" s="1"/>
  <c r="P88" i="97"/>
  <c r="M88" i="97"/>
  <c r="J88" i="97"/>
  <c r="T86" i="97"/>
  <c r="Q86" i="97"/>
  <c r="N86" i="97"/>
  <c r="K86" i="97"/>
  <c r="H86" i="97"/>
  <c r="T83" i="72"/>
  <c r="K83" i="72"/>
  <c r="H83" i="72"/>
  <c r="Q83" i="72"/>
  <c r="N83" i="72"/>
  <c r="L63" i="97"/>
  <c r="I64" i="72"/>
  <c r="V51" i="72"/>
  <c r="V62" i="72" s="1"/>
  <c r="U51" i="72"/>
  <c r="U62" i="72" s="1"/>
  <c r="O24" i="100"/>
  <c r="O25" i="100" s="1"/>
  <c r="H33" i="80"/>
  <c r="E10" i="106"/>
  <c r="E11" i="106"/>
  <c r="L12" i="106"/>
  <c r="E11" i="82"/>
  <c r="E12" i="82"/>
  <c r="C13" i="118"/>
  <c r="C57" i="97"/>
  <c r="C53" i="72"/>
  <c r="C56" i="72"/>
  <c r="C13" i="72"/>
  <c r="C40" i="72"/>
  <c r="C41" i="72"/>
  <c r="H13" i="97"/>
  <c r="G11" i="80"/>
  <c r="I19" i="80"/>
  <c r="D38" i="80"/>
  <c r="C38" i="80"/>
  <c r="V18" i="97"/>
  <c r="U18" i="97"/>
  <c r="T21" i="109" s="1"/>
  <c r="S18" i="97"/>
  <c r="R21" i="109" s="1"/>
  <c r="R18" i="97"/>
  <c r="Q21" i="109" s="1"/>
  <c r="P18" i="97"/>
  <c r="O21" i="109" s="1"/>
  <c r="O18" i="97"/>
  <c r="N21" i="109" s="1"/>
  <c r="M18" i="97"/>
  <c r="L21" i="109" s="1"/>
  <c r="J18" i="97"/>
  <c r="I21" i="109" s="1"/>
  <c r="G18" i="97"/>
  <c r="T17" i="97"/>
  <c r="T16" i="97"/>
  <c r="Q16" i="97"/>
  <c r="Q17" i="97"/>
  <c r="N16" i="97"/>
  <c r="C16" i="97" s="1"/>
  <c r="W16" i="97" s="1"/>
  <c r="N17" i="97"/>
  <c r="N84" i="97"/>
  <c r="M14" i="100"/>
  <c r="M47" i="100" s="1"/>
  <c r="I37" i="80"/>
  <c r="G37" i="80"/>
  <c r="C37" i="80"/>
  <c r="M29" i="80"/>
  <c r="G50" i="80"/>
  <c r="G49" i="80"/>
  <c r="I75" i="97"/>
  <c r="F75" i="97"/>
  <c r="T40" i="97"/>
  <c r="T37" i="97"/>
  <c r="U76" i="72"/>
  <c r="T76" i="72" s="1"/>
  <c r="T81" i="72"/>
  <c r="T27" i="72"/>
  <c r="F12" i="97"/>
  <c r="F18" i="97" s="1"/>
  <c r="C86" i="97" l="1"/>
  <c r="C17" i="97"/>
  <c r="W17" i="97" s="1"/>
  <c r="J19" i="80"/>
  <c r="O88" i="97"/>
  <c r="N27" i="109" s="1"/>
  <c r="W86" i="97"/>
  <c r="C83" i="72"/>
  <c r="W83" i="72" s="1"/>
  <c r="T62" i="72"/>
  <c r="T51" i="72"/>
  <c r="E18" i="97"/>
  <c r="L12" i="97"/>
  <c r="L18" i="97" s="1"/>
  <c r="K21" i="109" s="1"/>
  <c r="I18" i="97"/>
  <c r="H21" i="109" s="1"/>
  <c r="H25" i="80"/>
  <c r="H22" i="80" l="1"/>
  <c r="L15" i="80"/>
  <c r="K15" i="80"/>
  <c r="J15" i="80"/>
  <c r="I15" i="80"/>
  <c r="H15" i="80"/>
  <c r="L14" i="80"/>
  <c r="L38" i="80" s="1"/>
  <c r="N47" i="81" s="1"/>
  <c r="I14" i="80"/>
  <c r="H14" i="80"/>
  <c r="H13" i="80"/>
  <c r="H37" i="80" s="1"/>
  <c r="Q65" i="97"/>
  <c r="T85" i="97"/>
  <c r="T78" i="72"/>
  <c r="T77" i="72"/>
  <c r="T81" i="97"/>
  <c r="T80" i="97"/>
  <c r="T75" i="72"/>
  <c r="T71" i="72"/>
  <c r="F80" i="97"/>
  <c r="H69" i="72"/>
  <c r="W32" i="77"/>
  <c r="T91" i="97"/>
  <c r="T88" i="72"/>
  <c r="W33" i="77"/>
  <c r="K32" i="77"/>
  <c r="K12" i="77"/>
  <c r="R26" i="97" l="1"/>
  <c r="T59" i="97"/>
  <c r="T47" i="72"/>
  <c r="Q46" i="72"/>
  <c r="Q47" i="72"/>
  <c r="N47" i="72"/>
  <c r="Q59" i="97"/>
  <c r="T53" i="97"/>
  <c r="T38" i="72"/>
  <c r="Q38" i="72"/>
  <c r="F88" i="97"/>
  <c r="V63" i="97"/>
  <c r="U63" i="97"/>
  <c r="F63" i="97"/>
  <c r="T88" i="97"/>
  <c r="C47" i="72" l="1"/>
  <c r="W47" i="72" s="1"/>
  <c r="T63" i="97"/>
  <c r="K21" i="77"/>
  <c r="C21" i="77" s="1"/>
  <c r="Z21" i="77" s="1"/>
  <c r="I80" i="97"/>
  <c r="V92" i="97"/>
  <c r="U92" i="97"/>
  <c r="T29" i="109" s="1"/>
  <c r="T90" i="97"/>
  <c r="V89" i="72"/>
  <c r="U89" i="72"/>
  <c r="T16" i="109" s="1"/>
  <c r="T87" i="72"/>
  <c r="T82" i="72"/>
  <c r="V64" i="72"/>
  <c r="V85" i="72" s="1"/>
  <c r="U64" i="72"/>
  <c r="U85" i="72" s="1"/>
  <c r="T14" i="109" s="1"/>
  <c r="R55" i="72"/>
  <c r="H42" i="72"/>
  <c r="C42" i="72" s="1"/>
  <c r="W42" i="72" s="1"/>
  <c r="Y13" i="77"/>
  <c r="Y34" i="77" s="1"/>
  <c r="X13" i="77"/>
  <c r="X34" i="77" s="1"/>
  <c r="W29" i="77"/>
  <c r="Q32" i="97"/>
  <c r="T22" i="97"/>
  <c r="Q26" i="72"/>
  <c r="T11" i="72"/>
  <c r="Q82" i="72"/>
  <c r="N82" i="72"/>
  <c r="O76" i="72"/>
  <c r="N40" i="81"/>
  <c r="T69" i="72"/>
  <c r="H60" i="72"/>
  <c r="C60" i="72" s="1"/>
  <c r="W60" i="72" s="1"/>
  <c r="L35" i="97"/>
  <c r="I26" i="97"/>
  <c r="N30" i="77"/>
  <c r="L19" i="80"/>
  <c r="K19" i="80"/>
  <c r="T92" i="97" l="1"/>
  <c r="I51" i="72"/>
  <c r="C82" i="72"/>
  <c r="W82" i="72" s="1"/>
  <c r="T89" i="72"/>
  <c r="W13" i="77"/>
  <c r="T64" i="72"/>
  <c r="T85" i="72"/>
  <c r="H28" i="82"/>
  <c r="C40" i="80"/>
  <c r="D39" i="80"/>
  <c r="C39" i="80"/>
  <c r="M17" i="80"/>
  <c r="M44" i="80"/>
  <c r="O44" i="80"/>
  <c r="T77" i="97"/>
  <c r="T76" i="97"/>
  <c r="N79" i="72"/>
  <c r="Q14" i="97"/>
  <c r="Q15" i="97"/>
  <c r="T18" i="97"/>
  <c r="Q13" i="97"/>
  <c r="Q18" i="97" l="1"/>
  <c r="L28" i="82"/>
  <c r="E28" i="82" s="1"/>
  <c r="L27" i="82"/>
  <c r="L26" i="82"/>
  <c r="L25" i="82"/>
  <c r="L20" i="82"/>
  <c r="L13" i="82"/>
  <c r="J18" i="118"/>
  <c r="J17" i="118"/>
  <c r="J21" i="118"/>
  <c r="N9" i="81"/>
  <c r="N22" i="81"/>
  <c r="N19" i="81"/>
  <c r="W34" i="77"/>
  <c r="R14" i="72"/>
  <c r="R49" i="72" s="1"/>
  <c r="Q10" i="109" s="1"/>
  <c r="V94" i="97"/>
  <c r="L18" i="106" s="1"/>
  <c r="U94" i="97"/>
  <c r="L17" i="106" s="1"/>
  <c r="V78" i="97"/>
  <c r="U78" i="97"/>
  <c r="V26" i="97"/>
  <c r="V61" i="97" s="1"/>
  <c r="U26" i="97"/>
  <c r="V14" i="72"/>
  <c r="V49" i="72" s="1"/>
  <c r="U14" i="72"/>
  <c r="U49" i="72" s="1"/>
  <c r="K25" i="77"/>
  <c r="C25" i="77" s="1"/>
  <c r="H57" i="72"/>
  <c r="C57" i="72" s="1"/>
  <c r="N59" i="97"/>
  <c r="T51" i="97"/>
  <c r="Q23" i="72"/>
  <c r="T23" i="72"/>
  <c r="T29" i="97"/>
  <c r="T41" i="97"/>
  <c r="O41" i="97"/>
  <c r="N58" i="97"/>
  <c r="N46" i="72"/>
  <c r="Q45" i="72"/>
  <c r="H44" i="72"/>
  <c r="T56" i="97"/>
  <c r="K56" i="97"/>
  <c r="K43" i="72"/>
  <c r="C43" i="72" s="1"/>
  <c r="L19" i="106" l="1"/>
  <c r="L22" i="106" s="1"/>
  <c r="V90" i="72"/>
  <c r="U10" i="109"/>
  <c r="U18" i="109" s="1"/>
  <c r="U90" i="72"/>
  <c r="L8" i="106" s="1"/>
  <c r="L13" i="106" s="1"/>
  <c r="T10" i="109"/>
  <c r="T18" i="109" s="1"/>
  <c r="W43" i="72"/>
  <c r="J10" i="118"/>
  <c r="M7" i="100"/>
  <c r="C44" i="72"/>
  <c r="W44" i="72" s="1"/>
  <c r="C56" i="97"/>
  <c r="W56" i="97" s="1"/>
  <c r="C45" i="72"/>
  <c r="W45" i="72" s="1"/>
  <c r="C46" i="72"/>
  <c r="W46" i="72" s="1"/>
  <c r="C58" i="97"/>
  <c r="W58" i="97" s="1"/>
  <c r="C59" i="97"/>
  <c r="W59" i="97" s="1"/>
  <c r="L10" i="82"/>
  <c r="L9" i="106"/>
  <c r="L23" i="82"/>
  <c r="T26" i="97"/>
  <c r="U61" i="97"/>
  <c r="T14" i="72"/>
  <c r="T78" i="97"/>
  <c r="L24" i="82"/>
  <c r="T49" i="72"/>
  <c r="T90" i="72"/>
  <c r="L97" i="72" s="1"/>
  <c r="V93" i="97"/>
  <c r="L39" i="80"/>
  <c r="T94" i="97"/>
  <c r="V95" i="97"/>
  <c r="K26" i="82"/>
  <c r="I33" i="77"/>
  <c r="K88" i="72"/>
  <c r="F89" i="72"/>
  <c r="J6" i="118" l="1"/>
  <c r="U95" i="97"/>
  <c r="T23" i="109"/>
  <c r="M15" i="100"/>
  <c r="L24" i="106"/>
  <c r="L14" i="106"/>
  <c r="L9" i="82"/>
  <c r="L14" i="82" s="1"/>
  <c r="L15" i="82" s="1"/>
  <c r="M24" i="100"/>
  <c r="M5" i="100"/>
  <c r="N11" i="81"/>
  <c r="U93" i="97"/>
  <c r="T93" i="97" s="1"/>
  <c r="L15" i="106" s="1"/>
  <c r="L20" i="106" s="1"/>
  <c r="T61" i="97"/>
  <c r="J4" i="118"/>
  <c r="J9" i="118"/>
  <c r="L16" i="82"/>
  <c r="L21" i="82" s="1"/>
  <c r="T95" i="97"/>
  <c r="L17" i="82"/>
  <c r="L30" i="82" s="1"/>
  <c r="J8" i="118"/>
  <c r="J20" i="118" s="1"/>
  <c r="H10" i="80"/>
  <c r="N64" i="97"/>
  <c r="Q40" i="97"/>
  <c r="Q29" i="97"/>
  <c r="Q23" i="97"/>
  <c r="Q27" i="72"/>
  <c r="N27" i="72"/>
  <c r="Q16" i="72"/>
  <c r="N12" i="72"/>
  <c r="H11" i="80" l="1"/>
  <c r="L21" i="106"/>
  <c r="L23" i="106"/>
  <c r="L25" i="106" s="1"/>
  <c r="J7" i="118"/>
  <c r="J19" i="118" s="1"/>
  <c r="J22" i="118" s="1"/>
  <c r="M25" i="100"/>
  <c r="M26" i="100" s="1"/>
  <c r="M6" i="100"/>
  <c r="M8" i="100" s="1"/>
  <c r="M48" i="100"/>
  <c r="L29" i="82"/>
  <c r="L31" i="82" s="1"/>
  <c r="I10" i="80"/>
  <c r="I11" i="80" s="1"/>
  <c r="L22" i="82"/>
  <c r="L80" i="97"/>
  <c r="L88" i="97" s="1"/>
  <c r="K27" i="109" s="1"/>
  <c r="M13" i="100" l="1"/>
  <c r="M12" i="100" s="1"/>
  <c r="M46" i="100"/>
  <c r="M45" i="100" s="1"/>
  <c r="N30" i="81"/>
  <c r="N28" i="81" s="1"/>
  <c r="N35" i="81" s="1"/>
  <c r="K23" i="77"/>
  <c r="C23" i="77" s="1"/>
  <c r="K18" i="77"/>
  <c r="C18" i="77" s="1"/>
  <c r="Q80" i="97"/>
  <c r="K73" i="97"/>
  <c r="K72" i="97"/>
  <c r="K35" i="97"/>
  <c r="G57" i="80" l="1"/>
  <c r="X27" i="80" l="1"/>
  <c r="X26" i="80"/>
  <c r="H26" i="80"/>
  <c r="M26" i="80" s="1"/>
  <c r="Q71" i="72" l="1"/>
  <c r="K58" i="72"/>
  <c r="Q55" i="72"/>
  <c r="Q52" i="72"/>
  <c r="H60" i="97"/>
  <c r="K38" i="97"/>
  <c r="K33" i="97"/>
  <c r="I61" i="97"/>
  <c r="H23" i="109" s="1"/>
  <c r="F43" i="80" l="1"/>
  <c r="H32" i="77"/>
  <c r="H59" i="72"/>
  <c r="C59" i="72" s="1"/>
  <c r="AH12" i="97" l="1"/>
  <c r="H27" i="77" l="1"/>
  <c r="K27" i="77"/>
  <c r="C27" i="77" s="1"/>
  <c r="K26" i="77"/>
  <c r="C26" i="77" s="1"/>
  <c r="H24" i="77"/>
  <c r="K24" i="77"/>
  <c r="C24" i="77" s="1"/>
  <c r="H23" i="77"/>
  <c r="H18" i="77"/>
  <c r="K17" i="77"/>
  <c r="C17" i="77" s="1"/>
  <c r="H39" i="97"/>
  <c r="H35" i="97"/>
  <c r="AD10" i="72"/>
  <c r="AD12" i="72"/>
  <c r="AD13" i="72"/>
  <c r="AD15" i="72"/>
  <c r="AD16" i="72"/>
  <c r="AD17" i="72"/>
  <c r="AD18" i="72"/>
  <c r="AD19" i="72"/>
  <c r="AD20" i="72"/>
  <c r="AD21" i="72"/>
  <c r="AD22" i="72"/>
  <c r="AD23" i="72"/>
  <c r="AD24" i="72"/>
  <c r="AD25" i="72"/>
  <c r="AD26" i="72"/>
  <c r="AD27" i="72"/>
  <c r="AD28" i="72"/>
  <c r="AD29" i="72"/>
  <c r="AD30" i="72"/>
  <c r="AD31" i="72"/>
  <c r="AD32" i="72"/>
  <c r="AD33" i="72"/>
  <c r="AD34" i="72"/>
  <c r="AD35" i="72"/>
  <c r="AD36" i="72"/>
  <c r="AD37" i="72"/>
  <c r="AD38" i="72"/>
  <c r="AD39" i="72"/>
  <c r="AD41" i="72"/>
  <c r="AD48" i="72"/>
  <c r="AD50" i="72"/>
  <c r="AD52" i="72"/>
  <c r="AD53" i="72"/>
  <c r="AD54" i="72"/>
  <c r="AD55" i="72"/>
  <c r="AD56" i="72"/>
  <c r="AD57" i="72"/>
  <c r="AD58" i="72"/>
  <c r="AD59" i="72"/>
  <c r="AD63" i="72"/>
  <c r="AD65" i="72"/>
  <c r="AD66" i="72"/>
  <c r="AD67" i="72"/>
  <c r="AD68" i="72"/>
  <c r="AD69" i="72"/>
  <c r="AD70" i="72"/>
  <c r="AD71" i="72"/>
  <c r="AD72" i="72"/>
  <c r="AD73" i="72"/>
  <c r="AD74" i="72"/>
  <c r="AD75" i="72"/>
  <c r="AD77" i="72"/>
  <c r="AD78" i="72"/>
  <c r="AD79" i="72"/>
  <c r="AD80" i="72"/>
  <c r="AD81" i="72"/>
  <c r="AD84" i="72"/>
  <c r="AD9" i="72"/>
  <c r="H58" i="72"/>
  <c r="C58" i="72" s="1"/>
  <c r="H55" i="72"/>
  <c r="C55" i="72" s="1"/>
  <c r="H54" i="72"/>
  <c r="C54" i="72" s="1"/>
  <c r="F11" i="72"/>
  <c r="AD11" i="72" s="1"/>
  <c r="F40" i="72"/>
  <c r="AD40" i="72" s="1"/>
  <c r="F14" i="72" l="1"/>
  <c r="AD14" i="72" s="1"/>
  <c r="AD11" i="77"/>
  <c r="AD12" i="77"/>
  <c r="AD13" i="77"/>
  <c r="AD14" i="77"/>
  <c r="AD15" i="77"/>
  <c r="AD18" i="77"/>
  <c r="AD19" i="77"/>
  <c r="AD20" i="77"/>
  <c r="AD22" i="77"/>
  <c r="AD23" i="77"/>
  <c r="AD24" i="77"/>
  <c r="AD25" i="77"/>
  <c r="AD27" i="77"/>
  <c r="AD28" i="77"/>
  <c r="AD29" i="77"/>
  <c r="AD30" i="77"/>
  <c r="AD31" i="77"/>
  <c r="AD33" i="77"/>
  <c r="AJ12" i="97"/>
  <c r="AJ13" i="97"/>
  <c r="AJ14" i="97"/>
  <c r="AJ15" i="97"/>
  <c r="AJ18" i="97"/>
  <c r="AJ19" i="97"/>
  <c r="AJ21" i="97"/>
  <c r="AJ22" i="97"/>
  <c r="AJ23" i="97"/>
  <c r="AJ26" i="97"/>
  <c r="AJ27" i="97"/>
  <c r="AJ28" i="97"/>
  <c r="AJ29" i="97"/>
  <c r="AJ31" i="97"/>
  <c r="AJ33" i="97"/>
  <c r="AJ34" i="97"/>
  <c r="AJ35" i="97"/>
  <c r="AJ36" i="97"/>
  <c r="AJ37" i="97"/>
  <c r="AJ38" i="97"/>
  <c r="AJ40" i="97"/>
  <c r="AJ41" i="97"/>
  <c r="AJ42" i="97"/>
  <c r="AJ43" i="97"/>
  <c r="AJ44" i="97"/>
  <c r="AJ45" i="97"/>
  <c r="AJ46" i="97"/>
  <c r="AJ47" i="97"/>
  <c r="AJ48" i="97"/>
  <c r="AJ49" i="97"/>
  <c r="AJ50" i="97"/>
  <c r="AJ51" i="97"/>
  <c r="AJ52" i="97"/>
  <c r="AJ53" i="97"/>
  <c r="AJ60" i="97"/>
  <c r="AJ61" i="97"/>
  <c r="AJ62" i="97"/>
  <c r="AJ63" i="97"/>
  <c r="AJ64" i="97"/>
  <c r="AJ66" i="97"/>
  <c r="AJ67" i="97"/>
  <c r="AJ68" i="97"/>
  <c r="AJ69" i="97"/>
  <c r="AJ70" i="97"/>
  <c r="AJ71" i="97"/>
  <c r="AJ72" i="97"/>
  <c r="AJ73" i="97"/>
  <c r="AJ74" i="97"/>
  <c r="AJ75" i="97"/>
  <c r="AJ76" i="97"/>
  <c r="AJ77" i="97"/>
  <c r="AJ78" i="97"/>
  <c r="AJ79" i="97"/>
  <c r="AJ80" i="97"/>
  <c r="AJ82" i="97"/>
  <c r="AJ83" i="97"/>
  <c r="AJ84" i="97"/>
  <c r="AJ85" i="97"/>
  <c r="AJ87" i="97"/>
  <c r="AJ88" i="97"/>
  <c r="AJ89" i="97"/>
  <c r="AJ90" i="97"/>
  <c r="AJ11" i="97"/>
  <c r="AB10" i="72"/>
  <c r="AB11" i="72"/>
  <c r="AB12" i="72"/>
  <c r="AB13" i="72"/>
  <c r="AB14" i="72"/>
  <c r="AB15" i="72"/>
  <c r="AB16" i="72"/>
  <c r="AB17" i="72"/>
  <c r="AB18" i="72"/>
  <c r="AB19" i="72"/>
  <c r="AB20" i="72"/>
  <c r="AB21" i="72"/>
  <c r="AB22" i="72"/>
  <c r="AB23" i="72"/>
  <c r="AB24" i="72"/>
  <c r="AB25" i="72"/>
  <c r="AB26" i="72"/>
  <c r="AB27" i="72"/>
  <c r="AB28" i="72"/>
  <c r="AB29" i="72"/>
  <c r="AB30" i="72"/>
  <c r="AB31" i="72"/>
  <c r="AB32" i="72"/>
  <c r="AB34" i="72"/>
  <c r="AB35" i="72"/>
  <c r="AB36" i="72"/>
  <c r="AB37" i="72"/>
  <c r="AB38" i="72"/>
  <c r="AB39" i="72"/>
  <c r="AB40" i="72"/>
  <c r="AB41" i="72"/>
  <c r="AB48" i="72"/>
  <c r="AB49" i="72"/>
  <c r="AB50" i="72"/>
  <c r="AB51" i="72"/>
  <c r="AB52" i="72"/>
  <c r="AB54" i="72"/>
  <c r="AB55" i="72"/>
  <c r="AB58" i="72"/>
  <c r="AB59" i="72"/>
  <c r="AB62" i="72"/>
  <c r="AB63" i="72"/>
  <c r="AB64" i="72"/>
  <c r="AB66" i="72"/>
  <c r="AB67" i="72"/>
  <c r="AB68" i="72"/>
  <c r="AB69" i="72"/>
  <c r="AB70" i="72"/>
  <c r="AB71" i="72"/>
  <c r="AB72" i="72"/>
  <c r="AB73" i="72"/>
  <c r="AB74" i="72"/>
  <c r="AB75" i="72"/>
  <c r="AB76" i="72"/>
  <c r="AB77" i="72"/>
  <c r="AB78" i="72"/>
  <c r="AB79" i="72"/>
  <c r="AB80" i="72"/>
  <c r="AB81" i="72"/>
  <c r="AB85" i="72"/>
  <c r="AD85" i="72" s="1"/>
  <c r="AB86" i="72"/>
  <c r="AD86" i="72" s="1"/>
  <c r="AB87" i="72"/>
  <c r="AD87" i="72" s="1"/>
  <c r="AB88" i="72"/>
  <c r="AD88" i="72" s="1"/>
  <c r="AB9" i="72"/>
  <c r="AE11" i="77"/>
  <c r="AE12" i="77"/>
  <c r="AE13" i="77"/>
  <c r="AE16" i="77"/>
  <c r="AE17" i="77"/>
  <c r="AE22" i="77"/>
  <c r="AE25" i="77"/>
  <c r="AE26" i="77"/>
  <c r="AE28" i="77"/>
  <c r="AE29" i="77"/>
  <c r="AE30" i="77"/>
  <c r="AE31" i="77"/>
  <c r="AE32" i="77"/>
  <c r="AE10" i="77"/>
  <c r="AK12" i="97"/>
  <c r="AK13" i="97"/>
  <c r="AK14" i="97"/>
  <c r="AK30" i="97"/>
  <c r="AK32" i="97"/>
  <c r="AK33" i="97"/>
  <c r="AK34" i="97"/>
  <c r="AK41" i="97"/>
  <c r="AK49" i="97"/>
  <c r="AK50" i="97"/>
  <c r="AK51" i="97"/>
  <c r="AK52" i="97"/>
  <c r="AK53" i="97"/>
  <c r="AK60" i="97"/>
  <c r="AK61" i="97"/>
  <c r="AK62" i="97"/>
  <c r="AK63" i="97"/>
  <c r="AK64" i="97"/>
  <c r="AK65" i="97"/>
  <c r="AK66" i="97"/>
  <c r="AK67" i="97"/>
  <c r="AK68" i="97"/>
  <c r="AK69" i="97"/>
  <c r="AK70" i="97"/>
  <c r="AK72" i="97"/>
  <c r="AK73" i="97"/>
  <c r="AK76" i="97"/>
  <c r="AK77" i="97"/>
  <c r="AK78" i="97"/>
  <c r="AK79" i="97"/>
  <c r="AK80" i="97"/>
  <c r="AK84" i="97"/>
  <c r="AK85" i="97"/>
  <c r="AK87" i="97"/>
  <c r="AK88" i="97"/>
  <c r="AK89" i="97"/>
  <c r="AK90" i="97"/>
  <c r="AK91" i="97"/>
  <c r="AK11" i="97"/>
  <c r="AC29" i="72"/>
  <c r="AC30" i="72"/>
  <c r="AC31" i="72"/>
  <c r="AC32" i="72"/>
  <c r="AC37" i="72"/>
  <c r="AC38" i="72"/>
  <c r="AC39" i="72"/>
  <c r="AC40" i="72"/>
  <c r="AC41" i="72"/>
  <c r="AC48" i="72"/>
  <c r="AC49" i="72"/>
  <c r="AC50" i="72"/>
  <c r="AC51" i="72"/>
  <c r="AC52" i="72"/>
  <c r="AC53" i="72"/>
  <c r="AC56" i="72"/>
  <c r="AC57" i="72"/>
  <c r="AC62" i="72"/>
  <c r="AC63" i="72"/>
  <c r="AC64" i="72"/>
  <c r="AC65" i="72"/>
  <c r="AC66" i="72"/>
  <c r="AC69" i="72"/>
  <c r="AC70" i="72"/>
  <c r="AC75" i="72"/>
  <c r="AC76" i="72"/>
  <c r="AC79" i="72"/>
  <c r="AC81" i="72"/>
  <c r="AC84" i="72"/>
  <c r="AC85" i="72"/>
  <c r="AC86" i="72"/>
  <c r="AC87" i="72"/>
  <c r="AC88" i="72"/>
  <c r="AA33" i="72"/>
  <c r="AB33" i="72" s="1"/>
  <c r="AH25" i="97" l="1"/>
  <c r="AJ25" i="97" s="1"/>
  <c r="Z61" i="72"/>
  <c r="AH81" i="97"/>
  <c r="AJ81" i="97" s="1"/>
  <c r="AH39" i="97"/>
  <c r="AJ39" i="97" s="1"/>
  <c r="AH24" i="97"/>
  <c r="AJ24" i="97" s="1"/>
  <c r="AH20" i="97"/>
  <c r="AJ20" i="97" s="1"/>
  <c r="AD61" i="72" l="1"/>
  <c r="AB61" i="72"/>
  <c r="C24" i="100"/>
  <c r="C25" i="100" s="1"/>
  <c r="Q44" i="100"/>
  <c r="Q45" i="100"/>
  <c r="C47" i="100" s="1"/>
  <c r="B25" i="100"/>
  <c r="B24" i="100"/>
  <c r="B26" i="100"/>
  <c r="C48" i="100"/>
  <c r="B48" i="100"/>
  <c r="B47" i="100"/>
  <c r="B46" i="100"/>
  <c r="B45" i="100"/>
  <c r="C46" i="100" l="1"/>
  <c r="C45" i="100" s="1"/>
  <c r="C26" i="100"/>
  <c r="H17" i="77"/>
  <c r="H26" i="77"/>
  <c r="Z27" i="77"/>
  <c r="Z25" i="77"/>
  <c r="Z18" i="77"/>
  <c r="U13" i="77" l="1"/>
  <c r="U34" i="77" s="1"/>
  <c r="N23" i="72" l="1"/>
  <c r="O13" i="77"/>
  <c r="H53" i="97"/>
  <c r="H38" i="72"/>
  <c r="I22" i="77"/>
  <c r="H22" i="77" s="1"/>
  <c r="H84" i="72"/>
  <c r="C84" i="72" s="1"/>
  <c r="E84" i="72"/>
  <c r="E41" i="72"/>
  <c r="E40" i="72"/>
  <c r="I29" i="77"/>
  <c r="H20" i="77"/>
  <c r="Z17" i="77"/>
  <c r="N20" i="77"/>
  <c r="K53" i="97"/>
  <c r="L50" i="97"/>
  <c r="F22" i="97"/>
  <c r="Q22" i="97"/>
  <c r="Q11" i="72"/>
  <c r="O38" i="72"/>
  <c r="L22" i="72"/>
  <c r="N18" i="72"/>
  <c r="N19" i="72"/>
  <c r="N20" i="72"/>
  <c r="N21" i="72"/>
  <c r="N22" i="72"/>
  <c r="G88" i="97"/>
  <c r="Q76" i="97"/>
  <c r="K20" i="77"/>
  <c r="N76" i="97"/>
  <c r="K14" i="77"/>
  <c r="C14" i="77" s="1"/>
  <c r="F9" i="80"/>
  <c r="W40" i="72" l="1"/>
  <c r="W41" i="72"/>
  <c r="W84" i="72"/>
  <c r="L26" i="97"/>
  <c r="L61" i="97" s="1"/>
  <c r="K23" i="109" s="1"/>
  <c r="K22" i="77"/>
  <c r="C22" i="77" s="1"/>
  <c r="L14" i="72"/>
  <c r="R64" i="72"/>
  <c r="O66" i="72"/>
  <c r="Q65" i="72"/>
  <c r="Q66" i="72"/>
  <c r="Q67" i="72"/>
  <c r="Q68" i="72"/>
  <c r="Q69" i="72"/>
  <c r="Q70" i="72"/>
  <c r="J17" i="102"/>
  <c r="I25" i="102"/>
  <c r="J25" i="102"/>
  <c r="H25" i="102"/>
  <c r="G25" i="102"/>
  <c r="F25" i="102"/>
  <c r="G24" i="102" s="1"/>
  <c r="I61" i="102"/>
  <c r="G59" i="102"/>
  <c r="J34" i="102"/>
  <c r="F58" i="102"/>
  <c r="I33" i="102"/>
  <c r="H32" i="102"/>
  <c r="G31" i="102"/>
  <c r="F30" i="102"/>
  <c r="I16" i="102"/>
  <c r="H15" i="102"/>
  <c r="Z22" i="77" l="1"/>
  <c r="J11" i="102"/>
  <c r="K10" i="102" s="1"/>
  <c r="I11" i="102"/>
  <c r="H11" i="102"/>
  <c r="H14" i="77"/>
  <c r="S82" i="97"/>
  <c r="S88" i="97" s="1"/>
  <c r="R82" i="97"/>
  <c r="R88" i="97" s="1"/>
  <c r="Q27" i="109" s="1"/>
  <c r="Q52" i="97"/>
  <c r="Q53" i="97"/>
  <c r="N51" i="97"/>
  <c r="Q45" i="97"/>
  <c r="Q46" i="97"/>
  <c r="Q47" i="97"/>
  <c r="Q48" i="97"/>
  <c r="Q49" i="97"/>
  <c r="Q50" i="97"/>
  <c r="Q51" i="97"/>
  <c r="N52" i="97"/>
  <c r="N53" i="97"/>
  <c r="N31" i="72"/>
  <c r="N32" i="72"/>
  <c r="N33" i="72"/>
  <c r="N34" i="72"/>
  <c r="N35" i="72"/>
  <c r="N36" i="72"/>
  <c r="N37" i="72"/>
  <c r="N38" i="72"/>
  <c r="N39" i="72"/>
  <c r="K33" i="72"/>
  <c r="K34" i="72"/>
  <c r="K35" i="72"/>
  <c r="K36" i="72"/>
  <c r="K37" i="72"/>
  <c r="K38" i="72"/>
  <c r="K39" i="72"/>
  <c r="O64" i="72"/>
  <c r="O85" i="72" s="1"/>
  <c r="N14" i="109" s="1"/>
  <c r="K52" i="97"/>
  <c r="K51" i="97"/>
  <c r="N50" i="97"/>
  <c r="C52" i="97" l="1"/>
  <c r="W52" i="97" s="1"/>
  <c r="C51" i="97"/>
  <c r="W51" i="97" s="1"/>
  <c r="C53" i="97"/>
  <c r="W53" i="97" s="1"/>
  <c r="C38" i="72"/>
  <c r="W38" i="72" s="1"/>
  <c r="C39" i="72"/>
  <c r="W39" i="72" s="1"/>
  <c r="Z14" i="77"/>
  <c r="O26" i="97"/>
  <c r="O61" i="97" s="1"/>
  <c r="N23" i="109" s="1"/>
  <c r="O14" i="72"/>
  <c r="O49" i="72" s="1"/>
  <c r="N10" i="109" s="1"/>
  <c r="Q32" i="77"/>
  <c r="Q37" i="97"/>
  <c r="F10" i="77"/>
  <c r="G10" i="77"/>
  <c r="F11" i="77"/>
  <c r="E11" i="77" s="1"/>
  <c r="E12" i="77"/>
  <c r="E29" i="77"/>
  <c r="F16" i="77"/>
  <c r="E16" i="77" s="1"/>
  <c r="E15" i="77"/>
  <c r="G28" i="77"/>
  <c r="E28" i="77" s="1"/>
  <c r="E19" i="77"/>
  <c r="E20" i="77"/>
  <c r="F30" i="77"/>
  <c r="E30" i="77" s="1"/>
  <c r="E32" i="77"/>
  <c r="E33" i="77"/>
  <c r="E10" i="77" l="1"/>
  <c r="F13" i="77"/>
  <c r="F34" i="77" s="1"/>
  <c r="E40" i="77"/>
  <c r="E41" i="77" s="1"/>
  <c r="G13" i="77"/>
  <c r="G34" i="77" s="1"/>
  <c r="O40" i="102"/>
  <c r="E34" i="77" l="1"/>
  <c r="E13" i="77"/>
  <c r="D5" i="118"/>
  <c r="D6" i="118" s="1"/>
  <c r="K23" i="97"/>
  <c r="N23" i="97"/>
  <c r="E25" i="97"/>
  <c r="H25" i="97"/>
  <c r="C25" i="97" s="1"/>
  <c r="E21" i="97"/>
  <c r="H21" i="97"/>
  <c r="K21" i="97"/>
  <c r="K12" i="72"/>
  <c r="C12" i="72" s="1"/>
  <c r="N10" i="72"/>
  <c r="K10" i="72"/>
  <c r="H10" i="72"/>
  <c r="E10" i="72"/>
  <c r="E13" i="72"/>
  <c r="S64" i="72"/>
  <c r="M64" i="72"/>
  <c r="J64" i="72"/>
  <c r="G64" i="72"/>
  <c r="E72" i="97"/>
  <c r="K68" i="97"/>
  <c r="K24" i="72"/>
  <c r="C10" i="72" l="1"/>
  <c r="W10" i="72" s="1"/>
  <c r="C23" i="97"/>
  <c r="W23" i="97" s="1"/>
  <c r="C21" i="97"/>
  <c r="W21" i="97" s="1"/>
  <c r="W13" i="72"/>
  <c r="W25" i="97"/>
  <c r="W12" i="72"/>
  <c r="Q64" i="72"/>
  <c r="N70" i="72"/>
  <c r="C70" i="72" s="1"/>
  <c r="N29" i="77"/>
  <c r="K29" i="77"/>
  <c r="N11" i="72"/>
  <c r="K78" i="72"/>
  <c r="K79" i="72"/>
  <c r="K80" i="72"/>
  <c r="N65" i="72"/>
  <c r="N69" i="72"/>
  <c r="L71" i="72"/>
  <c r="W70" i="72" l="1"/>
  <c r="R63" i="97"/>
  <c r="R78" i="97" s="1"/>
  <c r="F76" i="72"/>
  <c r="AD76" i="72" s="1"/>
  <c r="F51" i="72"/>
  <c r="AD51" i="72" s="1"/>
  <c r="F21" i="80"/>
  <c r="F37" i="80" s="1"/>
  <c r="F64" i="72"/>
  <c r="Q37" i="72"/>
  <c r="C37" i="72" s="1"/>
  <c r="Q84" i="97"/>
  <c r="Q85" i="97"/>
  <c r="N85" i="97"/>
  <c r="K85" i="97"/>
  <c r="H84" i="97"/>
  <c r="H85" i="97"/>
  <c r="C85" i="97" s="1"/>
  <c r="E85" i="97"/>
  <c r="K60" i="97"/>
  <c r="C60" i="97" s="1"/>
  <c r="H34" i="72"/>
  <c r="C34" i="72" s="1"/>
  <c r="H35" i="72"/>
  <c r="C35" i="72" s="1"/>
  <c r="H36" i="72"/>
  <c r="C36" i="72" s="1"/>
  <c r="H48" i="72"/>
  <c r="C48" i="72" s="1"/>
  <c r="C84" i="97" l="1"/>
  <c r="W84" i="97" s="1"/>
  <c r="W85" i="97"/>
  <c r="F85" i="72"/>
  <c r="W37" i="72"/>
  <c r="AD64" i="72"/>
  <c r="W60" i="97"/>
  <c r="W48" i="72"/>
  <c r="H69" i="97"/>
  <c r="H70" i="97"/>
  <c r="H71" i="97"/>
  <c r="H72" i="97"/>
  <c r="C72" i="97" s="1"/>
  <c r="H73" i="97"/>
  <c r="C73" i="97" s="1"/>
  <c r="H74" i="97"/>
  <c r="K47" i="97"/>
  <c r="K48" i="97"/>
  <c r="K49" i="97"/>
  <c r="K50" i="97"/>
  <c r="C50" i="97" s="1"/>
  <c r="K69" i="72"/>
  <c r="C69" i="72" s="1"/>
  <c r="E35" i="72"/>
  <c r="Q44" i="97"/>
  <c r="H38" i="97"/>
  <c r="K28" i="97"/>
  <c r="K19" i="72"/>
  <c r="E53" i="72"/>
  <c r="W73" i="97" l="1"/>
  <c r="W35" i="72"/>
  <c r="W72" i="97"/>
  <c r="W50" i="97"/>
  <c r="W69" i="72"/>
  <c r="K34" i="97"/>
  <c r="E28" i="72"/>
  <c r="F49" i="72"/>
  <c r="AD49" i="72" s="1"/>
  <c r="N49" i="97"/>
  <c r="Q17" i="72"/>
  <c r="J14" i="80"/>
  <c r="Q75" i="97"/>
  <c r="N71" i="97"/>
  <c r="N74" i="97"/>
  <c r="N75" i="97"/>
  <c r="K70" i="97"/>
  <c r="K71" i="97"/>
  <c r="K74" i="97"/>
  <c r="K75" i="97"/>
  <c r="H75" i="97"/>
  <c r="E75" i="97"/>
  <c r="J34" i="80"/>
  <c r="I34" i="80"/>
  <c r="I38" i="80" s="1"/>
  <c r="H34" i="80"/>
  <c r="H38" i="80" s="1"/>
  <c r="G34" i="80"/>
  <c r="G38" i="80" s="1"/>
  <c r="F34" i="80"/>
  <c r="F38" i="80" s="1"/>
  <c r="E34" i="80"/>
  <c r="E38" i="80" s="1"/>
  <c r="C74" i="97" l="1"/>
  <c r="C71" i="97"/>
  <c r="C75" i="97"/>
  <c r="W75" i="97" s="1"/>
  <c r="K14" i="80"/>
  <c r="M14" i="80" s="1"/>
  <c r="L50" i="102"/>
  <c r="M22" i="81"/>
  <c r="M19" i="81"/>
  <c r="L19" i="81"/>
  <c r="K77" i="72" l="1"/>
  <c r="S63" i="97"/>
  <c r="S78" i="97" s="1"/>
  <c r="P63" i="97"/>
  <c r="P78" i="97" s="1"/>
  <c r="O63" i="97"/>
  <c r="O78" i="97" s="1"/>
  <c r="N25" i="109" s="1"/>
  <c r="M63" i="97"/>
  <c r="M78" i="97" s="1"/>
  <c r="L78" i="97"/>
  <c r="K25" i="109" s="1"/>
  <c r="J63" i="97"/>
  <c r="G63" i="97"/>
  <c r="S26" i="97"/>
  <c r="S61" i="97" s="1"/>
  <c r="R61" i="97"/>
  <c r="Q23" i="109" s="1"/>
  <c r="S51" i="72"/>
  <c r="S62" i="72" s="1"/>
  <c r="R51" i="72"/>
  <c r="H16" i="77"/>
  <c r="N17" i="72"/>
  <c r="N32" i="97"/>
  <c r="N22" i="97"/>
  <c r="N26" i="72"/>
  <c r="N67" i="72"/>
  <c r="K67" i="72"/>
  <c r="H67" i="72"/>
  <c r="E67" i="72"/>
  <c r="N19" i="77"/>
  <c r="N75" i="72"/>
  <c r="N74" i="72"/>
  <c r="N73" i="72"/>
  <c r="N72" i="72"/>
  <c r="N71" i="72"/>
  <c r="N68" i="72"/>
  <c r="N66" i="72"/>
  <c r="C67" i="72" l="1"/>
  <c r="W67" i="72" s="1"/>
  <c r="R62" i="72"/>
  <c r="Q51" i="72"/>
  <c r="Q26" i="97"/>
  <c r="Q63" i="97"/>
  <c r="Q61" i="97"/>
  <c r="N64" i="72"/>
  <c r="E84" i="97"/>
  <c r="H82" i="97"/>
  <c r="H83" i="97"/>
  <c r="K82" i="97"/>
  <c r="K83" i="97"/>
  <c r="N82" i="97"/>
  <c r="N83" i="97"/>
  <c r="Q83" i="97"/>
  <c r="E83" i="97"/>
  <c r="Q81" i="97"/>
  <c r="C83" i="97" l="1"/>
  <c r="Q62" i="72"/>
  <c r="Q12" i="109"/>
  <c r="W83" i="97"/>
  <c r="S14" i="72"/>
  <c r="S49" i="72" l="1"/>
  <c r="R10" i="109" s="1"/>
  <c r="Q14" i="72"/>
  <c r="E59" i="72"/>
  <c r="H49" i="97"/>
  <c r="C49" i="97" s="1"/>
  <c r="N46" i="97"/>
  <c r="N47" i="97"/>
  <c r="N48" i="97"/>
  <c r="E74" i="97"/>
  <c r="E58" i="72"/>
  <c r="E33" i="72"/>
  <c r="K13" i="82"/>
  <c r="I14" i="118"/>
  <c r="I15" i="118"/>
  <c r="H15" i="118"/>
  <c r="T11" i="77"/>
  <c r="T12" i="77"/>
  <c r="T29" i="77"/>
  <c r="T16" i="77"/>
  <c r="T15" i="77"/>
  <c r="T28" i="77"/>
  <c r="T19" i="77"/>
  <c r="T31" i="77"/>
  <c r="T20" i="77"/>
  <c r="T30" i="77"/>
  <c r="T32" i="77"/>
  <c r="T10" i="77"/>
  <c r="V13" i="77"/>
  <c r="K12" i="106"/>
  <c r="W59" i="72" l="1"/>
  <c r="W49" i="97"/>
  <c r="Q49" i="72"/>
  <c r="T13" i="77"/>
  <c r="M31" i="81" s="1"/>
  <c r="W58" i="72"/>
  <c r="V34" i="77"/>
  <c r="I16" i="118"/>
  <c r="T33" i="77"/>
  <c r="O25" i="102" s="1"/>
  <c r="H79" i="72"/>
  <c r="H80" i="72"/>
  <c r="C80" i="72" s="1"/>
  <c r="E79" i="72"/>
  <c r="E80" i="72"/>
  <c r="Q78" i="97"/>
  <c r="Q77" i="97"/>
  <c r="C77" i="97" s="1"/>
  <c r="Q78" i="72"/>
  <c r="Q79" i="72"/>
  <c r="Q82" i="97"/>
  <c r="C82" i="97" s="1"/>
  <c r="K76" i="97"/>
  <c r="C76" i="97" s="1"/>
  <c r="H72" i="72"/>
  <c r="E73" i="72"/>
  <c r="E82" i="97"/>
  <c r="E36" i="72"/>
  <c r="E34" i="72"/>
  <c r="E57" i="72"/>
  <c r="E55" i="72"/>
  <c r="E56" i="72"/>
  <c r="H30" i="72"/>
  <c r="H31" i="72"/>
  <c r="H32" i="72"/>
  <c r="H33" i="72"/>
  <c r="C33" i="72" s="1"/>
  <c r="K46" i="97"/>
  <c r="H44" i="97"/>
  <c r="H45" i="97"/>
  <c r="H46" i="97"/>
  <c r="H47" i="97"/>
  <c r="C47" i="97" s="1"/>
  <c r="H48" i="97"/>
  <c r="C48" i="97" s="1"/>
  <c r="E47" i="97"/>
  <c r="E48" i="97"/>
  <c r="E52" i="72"/>
  <c r="E54" i="72"/>
  <c r="E66" i="97"/>
  <c r="E67" i="97"/>
  <c r="E68" i="97"/>
  <c r="E69" i="97"/>
  <c r="E70" i="97"/>
  <c r="E71" i="97"/>
  <c r="E46" i="97"/>
  <c r="S76" i="72"/>
  <c r="S85" i="72" s="1"/>
  <c r="R76" i="72"/>
  <c r="R85" i="72" s="1"/>
  <c r="Q14" i="109" s="1"/>
  <c r="P76" i="72"/>
  <c r="P85" i="72" s="1"/>
  <c r="O14" i="109" s="1"/>
  <c r="M76" i="72"/>
  <c r="M85" i="72" s="1"/>
  <c r="L14" i="109" s="1"/>
  <c r="L76" i="72"/>
  <c r="L85" i="72" s="1"/>
  <c r="K14" i="109" s="1"/>
  <c r="J76" i="72"/>
  <c r="J85" i="72" s="1"/>
  <c r="I14" i="109" s="1"/>
  <c r="I76" i="72"/>
  <c r="I85" i="72" s="1"/>
  <c r="H14" i="109" s="1"/>
  <c r="G76" i="72"/>
  <c r="G85" i="72" s="1"/>
  <c r="E85" i="72" s="1"/>
  <c r="N77" i="72"/>
  <c r="Q75" i="72"/>
  <c r="Q77" i="72"/>
  <c r="Q81" i="72"/>
  <c r="Q74" i="72"/>
  <c r="N78" i="72"/>
  <c r="N81" i="72"/>
  <c r="K75" i="72"/>
  <c r="H75" i="72"/>
  <c r="H77" i="72"/>
  <c r="H78" i="72"/>
  <c r="E77" i="72"/>
  <c r="E78" i="72"/>
  <c r="S92" i="97"/>
  <c r="S95" i="97" s="1"/>
  <c r="I8" i="118" s="1"/>
  <c r="R92" i="97"/>
  <c r="Q29" i="109" s="1"/>
  <c r="Q91" i="97"/>
  <c r="Q90" i="97"/>
  <c r="Q88" i="72"/>
  <c r="Q87" i="72"/>
  <c r="S89" i="72"/>
  <c r="R89" i="72"/>
  <c r="Q16" i="109" s="1"/>
  <c r="O89" i="72"/>
  <c r="N16" i="109" s="1"/>
  <c r="N18" i="109" s="1"/>
  <c r="S94" i="97"/>
  <c r="R94" i="97"/>
  <c r="E45" i="97"/>
  <c r="E29" i="72"/>
  <c r="E30" i="72"/>
  <c r="E31" i="72"/>
  <c r="E32" i="72"/>
  <c r="C43" i="80"/>
  <c r="I43" i="80" s="1"/>
  <c r="C49" i="80"/>
  <c r="C50" i="80"/>
  <c r="D9" i="80"/>
  <c r="D37" i="80" s="1"/>
  <c r="D49" i="80"/>
  <c r="D50" i="80"/>
  <c r="L14" i="100"/>
  <c r="L47" i="100" s="1"/>
  <c r="K14" i="100"/>
  <c r="K47" i="100" s="1"/>
  <c r="J14" i="100"/>
  <c r="J47" i="100" s="1"/>
  <c r="Q18" i="109" l="1"/>
  <c r="C79" i="72"/>
  <c r="W79" i="72" s="1"/>
  <c r="K18" i="82"/>
  <c r="K17" i="106"/>
  <c r="K19" i="82"/>
  <c r="K18" i="106"/>
  <c r="C78" i="72"/>
  <c r="W78" i="72" s="1"/>
  <c r="C46" i="97"/>
  <c r="W46" i="97" s="1"/>
  <c r="C77" i="72"/>
  <c r="C75" i="72"/>
  <c r="K25" i="82"/>
  <c r="H40" i="80"/>
  <c r="R99" i="97"/>
  <c r="R100" i="97" s="1"/>
  <c r="S90" i="72"/>
  <c r="R90" i="72"/>
  <c r="I6" i="118" s="1"/>
  <c r="W80" i="72"/>
  <c r="E76" i="72"/>
  <c r="T34" i="77"/>
  <c r="W33" i="72"/>
  <c r="W76" i="97"/>
  <c r="W55" i="72"/>
  <c r="N76" i="72"/>
  <c r="W77" i="72"/>
  <c r="W57" i="72"/>
  <c r="M40" i="81"/>
  <c r="I21" i="118"/>
  <c r="W47" i="97"/>
  <c r="W34" i="72"/>
  <c r="C57" i="80"/>
  <c r="W56" i="72"/>
  <c r="W36" i="72"/>
  <c r="W48" i="97"/>
  <c r="K76" i="72"/>
  <c r="H76" i="72"/>
  <c r="W54" i="72"/>
  <c r="W77" i="97"/>
  <c r="W71" i="97"/>
  <c r="S93" i="97"/>
  <c r="K17" i="82" s="1"/>
  <c r="Q92" i="97"/>
  <c r="Q94" i="97"/>
  <c r="Q88" i="97"/>
  <c r="R93" i="97"/>
  <c r="R95" i="97"/>
  <c r="Q95" i="97" s="1"/>
  <c r="Q76" i="72"/>
  <c r="Q89" i="72"/>
  <c r="D57" i="80"/>
  <c r="C76" i="72" l="1"/>
  <c r="W76" i="72" s="1"/>
  <c r="K19" i="106"/>
  <c r="K22" i="106" s="1"/>
  <c r="I5" i="118"/>
  <c r="I20" i="118" s="1"/>
  <c r="K9" i="106"/>
  <c r="K15" i="106"/>
  <c r="K20" i="106" s="1"/>
  <c r="K16" i="82"/>
  <c r="I14" i="100"/>
  <c r="I47" i="100" s="1"/>
  <c r="F47" i="100" s="1"/>
  <c r="N47" i="100" s="1"/>
  <c r="I7" i="118"/>
  <c r="L25" i="100"/>
  <c r="L6" i="100"/>
  <c r="K35" i="82"/>
  <c r="I10" i="118"/>
  <c r="L7" i="100"/>
  <c r="K36" i="82"/>
  <c r="L15" i="100"/>
  <c r="K10" i="82"/>
  <c r="Q90" i="72"/>
  <c r="K97" i="72" s="1"/>
  <c r="K8" i="106"/>
  <c r="K13" i="106" s="1"/>
  <c r="K9" i="82"/>
  <c r="K14" i="82" s="1"/>
  <c r="Q85" i="72"/>
  <c r="O39" i="102" s="1"/>
  <c r="K16" i="106"/>
  <c r="M42" i="81"/>
  <c r="M37" i="81" s="1"/>
  <c r="I9" i="118"/>
  <c r="Q93" i="97"/>
  <c r="D40" i="80"/>
  <c r="F14" i="100" l="1"/>
  <c r="K21" i="106"/>
  <c r="L48" i="100"/>
  <c r="K30" i="82"/>
  <c r="L5" i="100"/>
  <c r="L24" i="100"/>
  <c r="I4" i="118"/>
  <c r="K34" i="82"/>
  <c r="K37" i="82" s="1"/>
  <c r="K15" i="82"/>
  <c r="K14" i="106"/>
  <c r="K23" i="106"/>
  <c r="I19" i="118" l="1"/>
  <c r="I25" i="118" s="1"/>
  <c r="I28" i="118" s="1"/>
  <c r="K24" i="106"/>
  <c r="K25" i="106" s="1"/>
  <c r="W82" i="97"/>
  <c r="AC82" i="97"/>
  <c r="B48" i="77"/>
  <c r="B51" i="77" s="1"/>
  <c r="I22" i="118" l="1"/>
  <c r="I26" i="118"/>
  <c r="I29" i="118" s="1"/>
  <c r="I27" i="118"/>
  <c r="I30" i="118" s="1"/>
  <c r="R14" i="120"/>
  <c r="S14" i="120" s="1"/>
  <c r="R13" i="120"/>
  <c r="S13" i="120" s="1"/>
  <c r="M16" i="120"/>
  <c r="M17" i="120" s="1"/>
  <c r="N16" i="120"/>
  <c r="N17" i="120" s="1"/>
  <c r="O16" i="120"/>
  <c r="O17" i="120" s="1"/>
  <c r="P16" i="120"/>
  <c r="P17" i="120" s="1"/>
  <c r="Q16" i="120"/>
  <c r="Q17" i="120" s="1"/>
  <c r="L16" i="120"/>
  <c r="L17" i="120" s="1"/>
  <c r="H4" i="120"/>
  <c r="I4" i="120" s="1"/>
  <c r="H5" i="120"/>
  <c r="I5" i="120" s="1"/>
  <c r="H6" i="120"/>
  <c r="I6" i="120" s="1"/>
  <c r="H3" i="120"/>
  <c r="I3" i="120" s="1"/>
  <c r="C7" i="120"/>
  <c r="C8" i="120" s="1"/>
  <c r="D7" i="120"/>
  <c r="D8" i="120" s="1"/>
  <c r="E7" i="120"/>
  <c r="E8" i="120" s="1"/>
  <c r="F7" i="120"/>
  <c r="F8" i="120" s="1"/>
  <c r="G7" i="120"/>
  <c r="G8" i="120" s="1"/>
  <c r="B7" i="120"/>
  <c r="B8" i="120" s="1"/>
  <c r="I31" i="118" l="1"/>
  <c r="N32" i="77"/>
  <c r="C32" i="77" s="1"/>
  <c r="E13" i="118" l="1"/>
  <c r="H12" i="118"/>
  <c r="G12" i="118"/>
  <c r="F12" i="118"/>
  <c r="E12" i="118"/>
  <c r="D12" i="118"/>
  <c r="D20" i="118" s="1"/>
  <c r="G28" i="82"/>
  <c r="G8" i="81"/>
  <c r="C12" i="118" l="1"/>
  <c r="K74" i="72"/>
  <c r="H74" i="72"/>
  <c r="E74" i="72"/>
  <c r="C74" i="72" l="1"/>
  <c r="I5" i="102"/>
  <c r="F40" i="80"/>
  <c r="E87" i="97" l="1"/>
  <c r="M25" i="80" l="1"/>
  <c r="G27" i="80"/>
  <c r="N80" i="97"/>
  <c r="N81" i="97"/>
  <c r="N87" i="97"/>
  <c r="AC96" i="97"/>
  <c r="AC62" i="97"/>
  <c r="AC79" i="97"/>
  <c r="AC89" i="97"/>
  <c r="AC19" i="97"/>
  <c r="N88" i="97" l="1"/>
  <c r="H27" i="80"/>
  <c r="M27" i="80" s="1"/>
  <c r="P51" i="72"/>
  <c r="O51" i="72"/>
  <c r="E81" i="97"/>
  <c r="R13" i="77"/>
  <c r="S13" i="77"/>
  <c r="S34" i="77" s="1"/>
  <c r="P13" i="77"/>
  <c r="K17" i="72"/>
  <c r="C17" i="72" s="1"/>
  <c r="O67" i="102" l="1"/>
  <c r="I17" i="118"/>
  <c r="Z32" i="77"/>
  <c r="N51" i="72"/>
  <c r="E33" i="80"/>
  <c r="I35" i="80" l="1"/>
  <c r="H35" i="80"/>
  <c r="H39" i="80" s="1"/>
  <c r="J35" i="80"/>
  <c r="G35" i="80"/>
  <c r="M33" i="80"/>
  <c r="D15" i="118"/>
  <c r="Y26" i="80"/>
  <c r="Y27" i="80" l="1"/>
  <c r="F78" i="97" l="1"/>
  <c r="H81" i="97"/>
  <c r="C81" i="97" s="1"/>
  <c r="I87" i="97" l="1"/>
  <c r="I88" i="97" s="1"/>
  <c r="H27" i="109" s="1"/>
  <c r="N10" i="80" l="1"/>
  <c r="R43" i="80"/>
  <c r="S43" i="80"/>
  <c r="H5" i="102"/>
  <c r="R34" i="77" l="1"/>
  <c r="I18" i="118"/>
  <c r="K24" i="82"/>
  <c r="K16" i="77"/>
  <c r="K15" i="77"/>
  <c r="K10" i="77"/>
  <c r="Q31" i="77"/>
  <c r="Q29" i="77"/>
  <c r="C29" i="77" s="1"/>
  <c r="Q16" i="77"/>
  <c r="Q15" i="77"/>
  <c r="Q28" i="77"/>
  <c r="Q20" i="77"/>
  <c r="C20" i="77" s="1"/>
  <c r="Q30" i="77"/>
  <c r="Q19" i="77"/>
  <c r="H41" i="97"/>
  <c r="H42" i="97"/>
  <c r="H43" i="97"/>
  <c r="H27" i="97"/>
  <c r="H28" i="97"/>
  <c r="H29" i="97"/>
  <c r="H30" i="97"/>
  <c r="H31" i="97"/>
  <c r="H32" i="97"/>
  <c r="C32" i="97" s="1"/>
  <c r="H33" i="97"/>
  <c r="H34" i="97"/>
  <c r="H18" i="72"/>
  <c r="H19" i="72"/>
  <c r="C19" i="72" s="1"/>
  <c r="H20" i="72"/>
  <c r="H21" i="72"/>
  <c r="H22" i="72"/>
  <c r="H23" i="72"/>
  <c r="H24" i="72"/>
  <c r="C24" i="72" s="1"/>
  <c r="N70" i="97"/>
  <c r="C70" i="97" s="1"/>
  <c r="F28" i="97"/>
  <c r="P26" i="97"/>
  <c r="P61" i="97" s="1"/>
  <c r="M26" i="97"/>
  <c r="M61" i="97" s="1"/>
  <c r="J26" i="97"/>
  <c r="J61" i="97" s="1"/>
  <c r="G26" i="97"/>
  <c r="G61" i="97" s="1"/>
  <c r="E64" i="97"/>
  <c r="E65" i="97"/>
  <c r="J78" i="97"/>
  <c r="G78" i="97"/>
  <c r="P14" i="72"/>
  <c r="P49" i="72" s="1"/>
  <c r="O10" i="109" s="1"/>
  <c r="O90" i="72"/>
  <c r="M14" i="72"/>
  <c r="M49" i="72" s="1"/>
  <c r="J14" i="72"/>
  <c r="J49" i="72" s="1"/>
  <c r="L10" i="109" s="1"/>
  <c r="L18" i="109" s="1"/>
  <c r="G14" i="72"/>
  <c r="G49" i="72" s="1"/>
  <c r="I10" i="109" s="1"/>
  <c r="I18" i="109" s="1"/>
  <c r="H64" i="97"/>
  <c r="H66" i="97"/>
  <c r="H67" i="97"/>
  <c r="H68" i="97"/>
  <c r="C68" i="97" s="1"/>
  <c r="K65" i="97"/>
  <c r="K66" i="97"/>
  <c r="K67" i="97"/>
  <c r="K69" i="97"/>
  <c r="C69" i="97" s="1"/>
  <c r="F44" i="97"/>
  <c r="E44" i="97" s="1"/>
  <c r="K32" i="72"/>
  <c r="C32" i="72" s="1"/>
  <c r="F50" i="80"/>
  <c r="F49" i="80"/>
  <c r="H87" i="97"/>
  <c r="L9" i="72"/>
  <c r="L49" i="72" s="1"/>
  <c r="K10" i="109" s="1"/>
  <c r="C67" i="97" l="1"/>
  <c r="W67" i="97" s="1"/>
  <c r="C66" i="97"/>
  <c r="W66" i="97" s="1"/>
  <c r="H6" i="118"/>
  <c r="J9" i="82"/>
  <c r="W68" i="97"/>
  <c r="W69" i="97"/>
  <c r="W70" i="97"/>
  <c r="AC69" i="97"/>
  <c r="AC67" i="97"/>
  <c r="AC68" i="97"/>
  <c r="AC66" i="97"/>
  <c r="AC70" i="97"/>
  <c r="N63" i="97"/>
  <c r="N78" i="97"/>
  <c r="W32" i="72"/>
  <c r="Y18" i="97"/>
  <c r="K72" i="72"/>
  <c r="C72" i="72" s="1"/>
  <c r="K81" i="72"/>
  <c r="H81" i="72"/>
  <c r="C81" i="72" s="1"/>
  <c r="E72" i="72"/>
  <c r="E75" i="72"/>
  <c r="E81" i="72"/>
  <c r="K87" i="97"/>
  <c r="C87" i="97" s="1"/>
  <c r="K20" i="97"/>
  <c r="W81" i="72" l="1"/>
  <c r="J14" i="82"/>
  <c r="W87" i="97"/>
  <c r="AC87" i="97"/>
  <c r="W74" i="72"/>
  <c r="AC81" i="97"/>
  <c r="E21" i="80" l="1"/>
  <c r="E37" i="80" s="1"/>
  <c r="I65" i="97"/>
  <c r="I63" i="97" s="1"/>
  <c r="I78" i="97" s="1"/>
  <c r="H25" i="109" s="1"/>
  <c r="E50" i="80"/>
  <c r="E49" i="80"/>
  <c r="K68" i="72"/>
  <c r="N85" i="72"/>
  <c r="N38" i="102" s="1"/>
  <c r="K31" i="77"/>
  <c r="H68" i="72"/>
  <c r="H28" i="72"/>
  <c r="H29" i="72"/>
  <c r="W81" i="97"/>
  <c r="Q11" i="77"/>
  <c r="Q12" i="77"/>
  <c r="C12" i="77" s="1"/>
  <c r="Q10" i="77"/>
  <c r="P89" i="72"/>
  <c r="P90" i="72" s="1"/>
  <c r="J9" i="106" s="1"/>
  <c r="N88" i="72"/>
  <c r="N87" i="72"/>
  <c r="P92" i="97"/>
  <c r="P95" i="97" s="1"/>
  <c r="O92" i="97"/>
  <c r="N29" i="109" s="1"/>
  <c r="N91" i="97"/>
  <c r="N90" i="97"/>
  <c r="P94" i="97"/>
  <c r="J19" i="82" s="1"/>
  <c r="O94" i="97"/>
  <c r="J18" i="82" s="1"/>
  <c r="K28" i="72"/>
  <c r="K29" i="72"/>
  <c r="K30" i="72"/>
  <c r="K31" i="72"/>
  <c r="C31" i="72" s="1"/>
  <c r="N29" i="72"/>
  <c r="N30" i="72"/>
  <c r="N9" i="72"/>
  <c r="N15" i="72"/>
  <c r="N16" i="72"/>
  <c r="N45" i="97"/>
  <c r="C45" i="97" s="1"/>
  <c r="E41" i="97"/>
  <c r="E42" i="97"/>
  <c r="E43" i="97"/>
  <c r="N44" i="97"/>
  <c r="C44" i="97" s="1"/>
  <c r="N43" i="97"/>
  <c r="C43" i="97" s="1"/>
  <c r="N42" i="97"/>
  <c r="C42" i="97" s="1"/>
  <c r="N37" i="97"/>
  <c r="N38" i="97"/>
  <c r="C38" i="97" s="1"/>
  <c r="N39" i="97"/>
  <c r="C39" i="97" s="1"/>
  <c r="N40" i="97"/>
  <c r="N41" i="97"/>
  <c r="C41" i="97" s="1"/>
  <c r="N29" i="97"/>
  <c r="N30" i="97"/>
  <c r="N31" i="97"/>
  <c r="C31" i="97" s="1"/>
  <c r="N33" i="97"/>
  <c r="C33" i="97" s="1"/>
  <c r="N34" i="97"/>
  <c r="C34" i="97" s="1"/>
  <c r="N35" i="97"/>
  <c r="C35" i="97" s="1"/>
  <c r="N36" i="97"/>
  <c r="N20" i="97"/>
  <c r="N24" i="97"/>
  <c r="N27" i="97"/>
  <c r="N28" i="97"/>
  <c r="C28" i="97" s="1"/>
  <c r="N11" i="97"/>
  <c r="N12" i="97"/>
  <c r="N13" i="97"/>
  <c r="N14" i="97"/>
  <c r="N15" i="97"/>
  <c r="N18" i="97"/>
  <c r="N10" i="97"/>
  <c r="F8" i="81"/>
  <c r="N13" i="80"/>
  <c r="AE9" i="97"/>
  <c r="J8" i="108"/>
  <c r="P34" i="77"/>
  <c r="O34" i="77"/>
  <c r="H12" i="77"/>
  <c r="D51" i="72"/>
  <c r="D62" i="72" s="1"/>
  <c r="D90" i="72" s="1"/>
  <c r="D63" i="97"/>
  <c r="C68" i="72" l="1"/>
  <c r="C30" i="72"/>
  <c r="C29" i="72"/>
  <c r="W29" i="72" s="1"/>
  <c r="C28" i="72"/>
  <c r="W28" i="72" s="1"/>
  <c r="J20" i="82"/>
  <c r="W42" i="97"/>
  <c r="W30" i="72"/>
  <c r="I39" i="80"/>
  <c r="W31" i="72"/>
  <c r="J13" i="82"/>
  <c r="W43" i="97"/>
  <c r="J18" i="106"/>
  <c r="W41" i="97"/>
  <c r="AC45" i="97"/>
  <c r="W45" i="97"/>
  <c r="J27" i="82"/>
  <c r="AE10" i="97"/>
  <c r="AC43" i="97"/>
  <c r="AC42" i="97"/>
  <c r="W74" i="97"/>
  <c r="AC74" i="97"/>
  <c r="W44" i="97"/>
  <c r="AC44" i="97"/>
  <c r="AC41" i="97"/>
  <c r="H21" i="118"/>
  <c r="O26" i="80"/>
  <c r="H14" i="118"/>
  <c r="H16" i="118" s="1"/>
  <c r="N94" i="97"/>
  <c r="H11" i="118"/>
  <c r="J17" i="106"/>
  <c r="H65" i="97"/>
  <c r="C65" i="97" s="1"/>
  <c r="P93" i="97"/>
  <c r="J16" i="106" s="1"/>
  <c r="Q13" i="77"/>
  <c r="N89" i="72"/>
  <c r="H8" i="118"/>
  <c r="N92" i="97"/>
  <c r="N49" i="72"/>
  <c r="N14" i="72"/>
  <c r="M24" i="80"/>
  <c r="D78" i="97"/>
  <c r="D93" i="97" s="1"/>
  <c r="D21" i="72"/>
  <c r="W62" i="97"/>
  <c r="W79" i="97"/>
  <c r="W19" i="97"/>
  <c r="W50" i="72"/>
  <c r="W63" i="72"/>
  <c r="W8" i="72"/>
  <c r="D16" i="77"/>
  <c r="D34" i="77" l="1"/>
  <c r="H5" i="118"/>
  <c r="H20" i="118" s="1"/>
  <c r="J10" i="82"/>
  <c r="J25" i="82"/>
  <c r="L31" i="81"/>
  <c r="J24" i="106"/>
  <c r="K15" i="100"/>
  <c r="K20" i="82"/>
  <c r="K23" i="82" s="1"/>
  <c r="K21" i="82"/>
  <c r="J17" i="82"/>
  <c r="L42" i="81"/>
  <c r="H17" i="118"/>
  <c r="J8" i="106"/>
  <c r="J13" i="106" s="1"/>
  <c r="AC65" i="97"/>
  <c r="N90" i="72"/>
  <c r="J97" i="72" s="1"/>
  <c r="J30" i="82" l="1"/>
  <c r="J14" i="106"/>
  <c r="K24" i="100"/>
  <c r="K5" i="100"/>
  <c r="H4" i="118"/>
  <c r="J34" i="82"/>
  <c r="K29" i="82"/>
  <c r="K22" i="82"/>
  <c r="E23" i="80"/>
  <c r="E39" i="80" s="1"/>
  <c r="M21" i="80"/>
  <c r="H19" i="77"/>
  <c r="K30" i="77"/>
  <c r="C30" i="77" s="1"/>
  <c r="K19" i="77"/>
  <c r="C19" i="77" s="1"/>
  <c r="H30" i="77"/>
  <c r="K31" i="82" l="1"/>
  <c r="M30" i="81" s="1"/>
  <c r="M28" i="81" s="1"/>
  <c r="M35" i="81" s="1"/>
  <c r="Z30" i="77"/>
  <c r="Z19" i="77"/>
  <c r="Z20" i="77"/>
  <c r="U7" i="110"/>
  <c r="U8" i="110"/>
  <c r="U9" i="110"/>
  <c r="U10" i="110"/>
  <c r="U11" i="110"/>
  <c r="U12" i="110"/>
  <c r="U13" i="110"/>
  <c r="U14" i="110"/>
  <c r="U15" i="110"/>
  <c r="U16" i="110"/>
  <c r="U17" i="110"/>
  <c r="T7" i="110"/>
  <c r="T8" i="110"/>
  <c r="T9" i="110"/>
  <c r="T10" i="110"/>
  <c r="T11" i="110"/>
  <c r="T12" i="110"/>
  <c r="T13" i="110"/>
  <c r="T14" i="110"/>
  <c r="T15" i="110"/>
  <c r="T16" i="110"/>
  <c r="T17" i="110"/>
  <c r="S13" i="110"/>
  <c r="S12" i="110"/>
  <c r="S11" i="110"/>
  <c r="S10" i="110"/>
  <c r="S9" i="110"/>
  <c r="S8" i="110"/>
  <c r="U6" i="110"/>
  <c r="T6" i="110"/>
  <c r="S6" i="110"/>
  <c r="P11" i="109"/>
  <c r="M11" i="109"/>
  <c r="X25" i="109"/>
  <c r="X27" i="109"/>
  <c r="X29" i="109"/>
  <c r="X16" i="109"/>
  <c r="E51" i="81"/>
  <c r="M22" i="80" l="1"/>
  <c r="H60" i="102"/>
  <c r="E26" i="72"/>
  <c r="W65" i="97" l="1"/>
  <c r="G15" i="80"/>
  <c r="G39" i="80" s="1"/>
  <c r="F15" i="80"/>
  <c r="J40" i="81"/>
  <c r="M23" i="80"/>
  <c r="M15" i="80" l="1"/>
  <c r="F39" i="80"/>
  <c r="AF20" i="97"/>
  <c r="AB15" i="97"/>
  <c r="AD13" i="97" s="1"/>
  <c r="AD22" i="97" l="1"/>
  <c r="AE22" i="97" s="1"/>
  <c r="AE13" i="97"/>
  <c r="AD14" i="97"/>
  <c r="AE14" i="97" s="1"/>
  <c r="AD15" i="97" l="1"/>
  <c r="AE15" i="97"/>
  <c r="U10" i="102" l="1"/>
  <c r="Q6" i="80" l="1"/>
  <c r="S18" i="102"/>
  <c r="Q23" i="102"/>
  <c r="R19" i="102" s="1"/>
  <c r="E34" i="97"/>
  <c r="E68" i="72"/>
  <c r="K11" i="97"/>
  <c r="K12" i="97"/>
  <c r="K13" i="97"/>
  <c r="C13" i="97" s="1"/>
  <c r="K14" i="97"/>
  <c r="K15" i="97"/>
  <c r="H14" i="97"/>
  <c r="H15" i="97"/>
  <c r="C15" i="97" s="1"/>
  <c r="E13" i="97"/>
  <c r="E14" i="97"/>
  <c r="E15" i="97"/>
  <c r="C14" i="97" l="1"/>
  <c r="W15" i="97"/>
  <c r="W14" i="97"/>
  <c r="AA3" i="97"/>
  <c r="AC14" i="97"/>
  <c r="AC15" i="97"/>
  <c r="AC13" i="97"/>
  <c r="AC34" i="97"/>
  <c r="W72" i="72"/>
  <c r="AD6" i="97"/>
  <c r="R5" i="80"/>
  <c r="S5" i="80" s="1"/>
  <c r="R4" i="80"/>
  <c r="S4" i="80" s="1"/>
  <c r="S19" i="102"/>
  <c r="T19" i="102" s="1"/>
  <c r="R20" i="102"/>
  <c r="S20" i="102" s="1"/>
  <c r="T20" i="102" s="1"/>
  <c r="T18" i="102"/>
  <c r="R21" i="102"/>
  <c r="S21" i="102" s="1"/>
  <c r="T21" i="102" s="1"/>
  <c r="N40" i="102"/>
  <c r="M40" i="102"/>
  <c r="L40" i="102"/>
  <c r="K40" i="102"/>
  <c r="J40" i="102"/>
  <c r="I40" i="102"/>
  <c r="H40" i="102"/>
  <c r="G40" i="102"/>
  <c r="F40" i="102"/>
  <c r="N21" i="102" l="1"/>
  <c r="R6" i="80"/>
  <c r="W13" i="97"/>
  <c r="M13" i="80"/>
  <c r="T23" i="102"/>
  <c r="U13" i="102" s="1"/>
  <c r="R23" i="102"/>
  <c r="S6" i="80"/>
  <c r="AF12" i="97"/>
  <c r="O59" i="80"/>
  <c r="S23" i="102"/>
  <c r="G9" i="108"/>
  <c r="H7" i="108"/>
  <c r="F7" i="108"/>
  <c r="H6" i="108"/>
  <c r="F5" i="108"/>
  <c r="H5" i="108"/>
  <c r="N11" i="102" l="1"/>
  <c r="M20" i="102"/>
  <c r="M11" i="102" s="1"/>
  <c r="P35" i="80"/>
  <c r="H9" i="108"/>
  <c r="T6" i="80"/>
  <c r="F9" i="108"/>
  <c r="K27" i="97"/>
  <c r="C27" i="97" s="1"/>
  <c r="M51" i="72"/>
  <c r="M62" i="72" s="1"/>
  <c r="L51" i="72"/>
  <c r="L62" i="72" s="1"/>
  <c r="J51" i="72"/>
  <c r="J62" i="72" s="1"/>
  <c r="I62" i="72"/>
  <c r="H12" i="109" s="1"/>
  <c r="G51" i="72"/>
  <c r="G62" i="72" s="1"/>
  <c r="K63" i="97" l="1"/>
  <c r="H63" i="97"/>
  <c r="E64" i="72"/>
  <c r="K51" i="72"/>
  <c r="H51" i="72"/>
  <c r="Z12" i="77"/>
  <c r="C51" i="72" l="1"/>
  <c r="C63" i="97"/>
  <c r="K64" i="97"/>
  <c r="C64" i="97" s="1"/>
  <c r="E32" i="97"/>
  <c r="E33" i="97"/>
  <c r="E31" i="97"/>
  <c r="E16" i="72"/>
  <c r="E18" i="72"/>
  <c r="E19" i="72"/>
  <c r="K18" i="72"/>
  <c r="C18" i="72" s="1"/>
  <c r="E22" i="119"/>
  <c r="I2" i="119"/>
  <c r="M2" i="119" s="1"/>
  <c r="O2" i="119" s="1"/>
  <c r="G4" i="119"/>
  <c r="E11" i="119"/>
  <c r="C17" i="119"/>
  <c r="B21" i="119"/>
  <c r="E27" i="97"/>
  <c r="E28" i="97"/>
  <c r="H9" i="72"/>
  <c r="H11" i="72"/>
  <c r="H15" i="72"/>
  <c r="C15" i="72" s="1"/>
  <c r="H16" i="72"/>
  <c r="E15" i="72"/>
  <c r="K16" i="72"/>
  <c r="C16" i="72" l="1"/>
  <c r="W16" i="72" s="1"/>
  <c r="W15" i="72"/>
  <c r="W18" i="72"/>
  <c r="W17" i="72"/>
  <c r="W28" i="97"/>
  <c r="AC31" i="97"/>
  <c r="W27" i="97"/>
  <c r="AC27" i="97"/>
  <c r="AC28" i="97"/>
  <c r="W33" i="97"/>
  <c r="AC33" i="97"/>
  <c r="W64" i="97"/>
  <c r="AC64" i="97"/>
  <c r="W19" i="72"/>
  <c r="W31" i="97"/>
  <c r="E15" i="119"/>
  <c r="W34" i="97"/>
  <c r="K61" i="72"/>
  <c r="K52" i="72"/>
  <c r="H52" i="72"/>
  <c r="C52" i="72" s="1"/>
  <c r="W52" i="72" l="1"/>
  <c r="G15" i="118"/>
  <c r="C15" i="118" s="1"/>
  <c r="E15" i="118"/>
  <c r="I31" i="117" l="1"/>
  <c r="I32" i="117" s="1"/>
  <c r="F26" i="117"/>
  <c r="G26" i="117"/>
  <c r="H26" i="117"/>
  <c r="I26" i="117"/>
  <c r="H15" i="117"/>
  <c r="I15" i="117"/>
  <c r="E9" i="117"/>
  <c r="F9" i="117"/>
  <c r="G9" i="117"/>
  <c r="D9" i="117"/>
  <c r="I7" i="115" l="1"/>
  <c r="E3" i="115"/>
  <c r="B7" i="115"/>
  <c r="C6" i="115" s="1"/>
  <c r="Y91" i="97"/>
  <c r="Y90" i="97"/>
  <c r="Y32" i="97"/>
  <c r="K14" i="72" l="1"/>
  <c r="E6" i="115"/>
  <c r="G6" i="115" s="1"/>
  <c r="C5" i="115"/>
  <c r="C7" i="115" s="1"/>
  <c r="E5" i="115" l="1"/>
  <c r="E7" i="115" s="1"/>
  <c r="G5" i="115" l="1"/>
  <c r="G7" i="115" s="1"/>
  <c r="E35" i="97"/>
  <c r="E30" i="97" l="1"/>
  <c r="W35" i="97" l="1"/>
  <c r="AC35" i="97"/>
  <c r="F24" i="102" l="1"/>
  <c r="M25" i="102"/>
  <c r="L40" i="81"/>
  <c r="L22" i="81"/>
  <c r="G5" i="102" l="1"/>
  <c r="O55" i="80" l="1"/>
  <c r="K17" i="81" l="1"/>
  <c r="L17" i="81" s="1"/>
  <c r="M17" i="81" s="1"/>
  <c r="N17" i="81" s="1"/>
  <c r="H9" i="117" l="1"/>
  <c r="Z88" i="97"/>
  <c r="Y88" i="97"/>
  <c r="I9" i="117" l="1"/>
  <c r="X10" i="109" l="1"/>
  <c r="H31" i="77"/>
  <c r="N31" i="77"/>
  <c r="C31" i="77" s="1"/>
  <c r="N40" i="77" l="1"/>
  <c r="N41" i="77" s="1"/>
  <c r="Z31" i="77"/>
  <c r="L18" i="100"/>
  <c r="S35" i="102"/>
  <c r="T33" i="102" s="1"/>
  <c r="E39" i="97"/>
  <c r="E38" i="97"/>
  <c r="H61" i="72"/>
  <c r="C61" i="72" s="1"/>
  <c r="E24" i="72"/>
  <c r="E21" i="72"/>
  <c r="E20" i="72"/>
  <c r="AC39" i="97" l="1"/>
  <c r="AC38" i="97"/>
  <c r="U33" i="102"/>
  <c r="T34" i="102"/>
  <c r="U34" i="102" s="1"/>
  <c r="V34" i="102" s="1"/>
  <c r="F29" i="97"/>
  <c r="F26" i="97" s="1"/>
  <c r="I25" i="72"/>
  <c r="I14" i="72" s="1"/>
  <c r="I49" i="72" s="1"/>
  <c r="H10" i="109" s="1"/>
  <c r="H26" i="72"/>
  <c r="Y61" i="97"/>
  <c r="Z61" i="97"/>
  <c r="Z78" i="97"/>
  <c r="W10" i="109" l="1"/>
  <c r="F61" i="97"/>
  <c r="W39" i="97"/>
  <c r="E14" i="72"/>
  <c r="H64" i="72"/>
  <c r="E29" i="97"/>
  <c r="Y78" i="97"/>
  <c r="T35" i="102"/>
  <c r="V33" i="102"/>
  <c r="V35" i="102" s="1"/>
  <c r="U35" i="102"/>
  <c r="Z92" i="97"/>
  <c r="Z93" i="97" s="1"/>
  <c r="Y92" i="97"/>
  <c r="E63" i="97" l="1"/>
  <c r="M25" i="109"/>
  <c r="H26" i="97"/>
  <c r="E26" i="97"/>
  <c r="H14" i="72"/>
  <c r="C14" i="72" s="1"/>
  <c r="K64" i="72"/>
  <c r="C64" i="72" s="1"/>
  <c r="Y93" i="97"/>
  <c r="X32" i="97"/>
  <c r="W63" i="97" l="1"/>
  <c r="AC63" i="97"/>
  <c r="W64" i="72"/>
  <c r="J25" i="109"/>
  <c r="H25" i="72" l="1"/>
  <c r="W75" i="72" l="1"/>
  <c r="X14" i="109"/>
  <c r="U23" i="109" l="1"/>
  <c r="O23" i="109"/>
  <c r="R23" i="109"/>
  <c r="X23" i="109" l="1"/>
  <c r="K26" i="72" l="1"/>
  <c r="C26" i="72" s="1"/>
  <c r="K25" i="72"/>
  <c r="C25" i="72" s="1"/>
  <c r="K20" i="72"/>
  <c r="C20" i="72" s="1"/>
  <c r="K21" i="72"/>
  <c r="C21" i="72" s="1"/>
  <c r="K22" i="72"/>
  <c r="C22" i="72" s="1"/>
  <c r="K23" i="72"/>
  <c r="C23" i="72" s="1"/>
  <c r="K9" i="72"/>
  <c r="C9" i="72" s="1"/>
  <c r="K11" i="72"/>
  <c r="C11" i="72" s="1"/>
  <c r="K29" i="97"/>
  <c r="C29" i="97" s="1"/>
  <c r="W29" i="97" l="1"/>
  <c r="AC29" i="97"/>
  <c r="W21" i="72"/>
  <c r="W26" i="72"/>
  <c r="W23" i="72"/>
  <c r="W22" i="72"/>
  <c r="N11" i="77" l="1"/>
  <c r="G14" i="118" s="1"/>
  <c r="K11" i="77"/>
  <c r="H11" i="77"/>
  <c r="H27" i="82" l="1"/>
  <c r="C11" i="77"/>
  <c r="E14" i="118"/>
  <c r="F14" i="118"/>
  <c r="C14" i="118" l="1"/>
  <c r="D16" i="118"/>
  <c r="Z11" i="77"/>
  <c r="I9" i="108"/>
  <c r="J9" i="108" l="1"/>
  <c r="C4" i="114"/>
  <c r="D4" i="114" s="1"/>
  <c r="C5" i="114"/>
  <c r="D5" i="114" s="1"/>
  <c r="C3" i="114"/>
  <c r="A6" i="114"/>
  <c r="C8" i="114" l="1"/>
  <c r="C6" i="114"/>
  <c r="D6" i="114" s="1"/>
  <c r="D3" i="114"/>
  <c r="E26" i="117" l="1"/>
  <c r="J18" i="112"/>
  <c r="I18" i="112"/>
  <c r="H18" i="112"/>
  <c r="G18" i="112"/>
  <c r="F18" i="112"/>
  <c r="E18" i="112"/>
  <c r="D18" i="112"/>
  <c r="C18" i="112"/>
  <c r="J9" i="112"/>
  <c r="E17" i="111"/>
  <c r="F17" i="111"/>
  <c r="G17" i="111"/>
  <c r="H17" i="111"/>
  <c r="I17" i="111"/>
  <c r="J17" i="111"/>
  <c r="D17" i="111"/>
  <c r="C17" i="111"/>
  <c r="J9" i="111"/>
  <c r="E40" i="80" l="1"/>
  <c r="B18" i="112"/>
  <c r="B17" i="111"/>
  <c r="D22" i="110" l="1"/>
  <c r="E22" i="110"/>
  <c r="F22" i="110"/>
  <c r="G22" i="110"/>
  <c r="H22" i="110"/>
  <c r="I22" i="110"/>
  <c r="J22" i="110"/>
  <c r="K22" i="110"/>
  <c r="L22" i="110"/>
  <c r="M22" i="110"/>
  <c r="N22" i="110"/>
  <c r="O22" i="110"/>
  <c r="P22" i="110"/>
  <c r="Q22" i="110"/>
  <c r="R22" i="110"/>
  <c r="E21" i="110"/>
  <c r="F21" i="110"/>
  <c r="H21" i="110"/>
  <c r="I21" i="110"/>
  <c r="K21" i="110"/>
  <c r="L21" i="110"/>
  <c r="M21" i="110"/>
  <c r="N21" i="110"/>
  <c r="O21" i="110"/>
  <c r="P21" i="110"/>
  <c r="Q21" i="110"/>
  <c r="R21" i="110"/>
  <c r="E18" i="110"/>
  <c r="F18" i="110"/>
  <c r="H18" i="110"/>
  <c r="I18" i="110"/>
  <c r="K18" i="110"/>
  <c r="L18" i="110"/>
  <c r="N18" i="110"/>
  <c r="O18" i="110"/>
  <c r="Q18" i="110"/>
  <c r="R18" i="110"/>
  <c r="E19" i="110"/>
  <c r="F19" i="110"/>
  <c r="H19" i="110"/>
  <c r="I19" i="110"/>
  <c r="K19" i="110"/>
  <c r="L19" i="110"/>
  <c r="N19" i="110"/>
  <c r="O19" i="110"/>
  <c r="Q19" i="110"/>
  <c r="R19" i="110"/>
  <c r="P17" i="110"/>
  <c r="P19" i="110" s="1"/>
  <c r="M17" i="110"/>
  <c r="M19" i="110" s="1"/>
  <c r="J17" i="110"/>
  <c r="G17" i="110"/>
  <c r="D17" i="110"/>
  <c r="P16" i="110"/>
  <c r="P18" i="110" s="1"/>
  <c r="M16" i="110"/>
  <c r="M18" i="110" s="1"/>
  <c r="J16" i="110"/>
  <c r="J18" i="110" s="1"/>
  <c r="G16" i="110"/>
  <c r="G18" i="110" s="1"/>
  <c r="D16" i="110"/>
  <c r="S17" i="110" l="1"/>
  <c r="T19" i="110"/>
  <c r="T18" i="110"/>
  <c r="T21" i="110"/>
  <c r="T22" i="110"/>
  <c r="S16" i="110"/>
  <c r="U19" i="110"/>
  <c r="U18" i="110"/>
  <c r="U21" i="110"/>
  <c r="U22" i="110"/>
  <c r="J15" i="110"/>
  <c r="G15" i="110"/>
  <c r="D15" i="110"/>
  <c r="D14" i="110"/>
  <c r="D7" i="110"/>
  <c r="S28" i="109"/>
  <c r="P28" i="109"/>
  <c r="M28" i="109"/>
  <c r="J28" i="109"/>
  <c r="G28" i="109"/>
  <c r="S27" i="109"/>
  <c r="S26" i="109"/>
  <c r="P27" i="109"/>
  <c r="P26" i="109"/>
  <c r="M27" i="109"/>
  <c r="M26" i="109"/>
  <c r="J27" i="109"/>
  <c r="J26" i="109"/>
  <c r="G26" i="109"/>
  <c r="G25" i="109"/>
  <c r="S24" i="109"/>
  <c r="P24" i="109"/>
  <c r="M24" i="109"/>
  <c r="J24" i="109"/>
  <c r="G24" i="109"/>
  <c r="S22" i="109"/>
  <c r="P23" i="109"/>
  <c r="P22" i="109"/>
  <c r="M23" i="109"/>
  <c r="M22" i="109"/>
  <c r="J23" i="109"/>
  <c r="J22" i="109"/>
  <c r="G23" i="109"/>
  <c r="G22" i="109"/>
  <c r="V22" i="109" s="1"/>
  <c r="P21" i="109"/>
  <c r="P20" i="109"/>
  <c r="M20" i="109"/>
  <c r="J20" i="109"/>
  <c r="G20" i="109"/>
  <c r="S15" i="109"/>
  <c r="P15" i="109"/>
  <c r="M15" i="109"/>
  <c r="J15" i="109"/>
  <c r="G15" i="109"/>
  <c r="S13" i="109"/>
  <c r="P13" i="109"/>
  <c r="M14" i="109"/>
  <c r="M13" i="109"/>
  <c r="J14" i="109"/>
  <c r="J13" i="109"/>
  <c r="G13" i="109"/>
  <c r="G11" i="109"/>
  <c r="V11" i="109" s="1"/>
  <c r="S10" i="109"/>
  <c r="S9" i="109"/>
  <c r="P10" i="109"/>
  <c r="P9" i="109"/>
  <c r="M10" i="109"/>
  <c r="M9" i="109"/>
  <c r="J9" i="109"/>
  <c r="U31" i="109"/>
  <c r="R31" i="109"/>
  <c r="U30" i="109"/>
  <c r="U32" i="109" s="1"/>
  <c r="T30" i="109"/>
  <c r="T32" i="109" s="1"/>
  <c r="R30" i="109"/>
  <c r="R32" i="109" s="1"/>
  <c r="Q30" i="109"/>
  <c r="Q32" i="109" s="1"/>
  <c r="O30" i="109"/>
  <c r="O32" i="109" s="1"/>
  <c r="N30" i="109"/>
  <c r="N32" i="109" s="1"/>
  <c r="L30" i="109"/>
  <c r="L32" i="109" s="1"/>
  <c r="K30" i="109"/>
  <c r="K32" i="109" s="1"/>
  <c r="I30" i="109"/>
  <c r="X30" i="109" s="1"/>
  <c r="H30" i="109"/>
  <c r="W30" i="109" s="1"/>
  <c r="V24" i="109" l="1"/>
  <c r="P17" i="109"/>
  <c r="V9" i="109"/>
  <c r="V13" i="109"/>
  <c r="V20" i="109"/>
  <c r="V26" i="109"/>
  <c r="V15" i="109"/>
  <c r="V28" i="109"/>
  <c r="M17" i="109"/>
  <c r="J17" i="109"/>
  <c r="G17" i="109"/>
  <c r="S17" i="109"/>
  <c r="S15" i="110"/>
  <c r="D19" i="110"/>
  <c r="S7" i="110"/>
  <c r="D18" i="110"/>
  <c r="S14" i="110"/>
  <c r="S18" i="110" s="1"/>
  <c r="I32" i="109"/>
  <c r="X32" i="109" s="1"/>
  <c r="H32" i="109"/>
  <c r="W32" i="109" s="1"/>
  <c r="J30" i="109"/>
  <c r="U33" i="109"/>
  <c r="S30" i="109"/>
  <c r="G21" i="110"/>
  <c r="G19" i="110"/>
  <c r="P30" i="109"/>
  <c r="D21" i="110"/>
  <c r="J19" i="110"/>
  <c r="J21" i="110"/>
  <c r="E20" i="110"/>
  <c r="K20" i="110"/>
  <c r="Q20" i="110"/>
  <c r="I20" i="110"/>
  <c r="O20" i="110"/>
  <c r="P20" i="110"/>
  <c r="H20" i="110"/>
  <c r="L20" i="110"/>
  <c r="F20" i="110"/>
  <c r="N20" i="110"/>
  <c r="R20" i="110"/>
  <c r="M30" i="109"/>
  <c r="G30" i="109"/>
  <c r="V17" i="109" l="1"/>
  <c r="V30" i="109"/>
  <c r="U20" i="110"/>
  <c r="T20" i="110"/>
  <c r="G32" i="109"/>
  <c r="P32" i="109"/>
  <c r="J32" i="109"/>
  <c r="M32" i="109"/>
  <c r="S32" i="109"/>
  <c r="S21" i="110"/>
  <c r="S22" i="110"/>
  <c r="S19" i="110"/>
  <c r="J20" i="110"/>
  <c r="Y21" i="110"/>
  <c r="Y20" i="110"/>
  <c r="G20" i="110"/>
  <c r="D20" i="110"/>
  <c r="M20" i="110"/>
  <c r="X20" i="110"/>
  <c r="X21" i="110"/>
  <c r="V32" i="109" l="1"/>
  <c r="S20" i="110"/>
  <c r="W21" i="110"/>
  <c r="W20" i="110"/>
  <c r="H29" i="77" l="1"/>
  <c r="N16" i="77"/>
  <c r="C16" i="77" s="1"/>
  <c r="N15" i="77"/>
  <c r="C15" i="77" s="1"/>
  <c r="H15" i="77"/>
  <c r="Z15" i="77" l="1"/>
  <c r="K40" i="77"/>
  <c r="K41" i="77" s="1"/>
  <c r="Z29" i="77"/>
  <c r="Z16" i="77"/>
  <c r="A2" i="97"/>
  <c r="K37" i="97"/>
  <c r="H37" i="97"/>
  <c r="E37" i="97"/>
  <c r="C37" i="97" l="1"/>
  <c r="W37" i="97" s="1"/>
  <c r="AC37" i="97"/>
  <c r="I16" i="117" l="1"/>
  <c r="C6" i="108"/>
  <c r="A9" i="108"/>
  <c r="W20" i="72" l="1"/>
  <c r="F11" i="102" l="1"/>
  <c r="G11" i="102" s="1"/>
  <c r="K27" i="72" l="1"/>
  <c r="H27" i="72"/>
  <c r="E27" i="72"/>
  <c r="C27" i="72" l="1"/>
  <c r="W27" i="72" s="1"/>
  <c r="V27" i="102"/>
  <c r="AC40" i="107"/>
  <c r="Z15" i="107"/>
  <c r="W15" i="107"/>
  <c r="T15" i="107"/>
  <c r="Q15" i="107"/>
  <c r="N15" i="107"/>
  <c r="K15" i="107"/>
  <c r="H15" i="107"/>
  <c r="Z9" i="107"/>
  <c r="W9" i="107"/>
  <c r="T9" i="107"/>
  <c r="Q9" i="107"/>
  <c r="N9" i="107"/>
  <c r="K9" i="107"/>
  <c r="H9" i="107"/>
  <c r="E2" i="107"/>
  <c r="K24" i="97"/>
  <c r="H24" i="97"/>
  <c r="D11" i="106"/>
  <c r="K30" i="97"/>
  <c r="C30" i="97" s="1"/>
  <c r="K22" i="97"/>
  <c r="H22" i="97"/>
  <c r="E24" i="97"/>
  <c r="E22" i="97"/>
  <c r="E11" i="72"/>
  <c r="C22" i="97" l="1"/>
  <c r="W22" i="97" s="1"/>
  <c r="C24" i="97"/>
  <c r="W24" i="97" s="1"/>
  <c r="W11" i="72"/>
  <c r="W30" i="97"/>
  <c r="AC22" i="97"/>
  <c r="AC24" i="97"/>
  <c r="AC30" i="97"/>
  <c r="Q21" i="107"/>
  <c r="E25" i="107"/>
  <c r="Q25" i="107"/>
  <c r="N28" i="107"/>
  <c r="Q29" i="107"/>
  <c r="P41" i="107"/>
  <c r="H21" i="107"/>
  <c r="H25" i="107"/>
  <c r="H29" i="107"/>
  <c r="K30" i="107"/>
  <c r="E29" i="107" l="1"/>
  <c r="T29" i="107"/>
  <c r="Z28" i="107"/>
  <c r="W30" i="107"/>
  <c r="T25" i="107"/>
  <c r="T21" i="107"/>
  <c r="Z30" i="107"/>
  <c r="N30" i="107"/>
  <c r="E21" i="107"/>
  <c r="W29" i="107"/>
  <c r="K29" i="107"/>
  <c r="T28" i="107"/>
  <c r="H28" i="107"/>
  <c r="W25" i="107"/>
  <c r="K25" i="107"/>
  <c r="W21" i="107"/>
  <c r="K21" i="107"/>
  <c r="Q28" i="107"/>
  <c r="E28" i="107"/>
  <c r="E23" i="107"/>
  <c r="N27" i="107"/>
  <c r="N23" i="107"/>
  <c r="E27" i="107"/>
  <c r="H30" i="107"/>
  <c r="K27" i="107"/>
  <c r="K23" i="107"/>
  <c r="Z27" i="107"/>
  <c r="Z23" i="107"/>
  <c r="Q27" i="107"/>
  <c r="Q23" i="107"/>
  <c r="T30" i="107"/>
  <c r="W27" i="107"/>
  <c r="W23" i="107"/>
  <c r="E9" i="107"/>
  <c r="N31" i="107"/>
  <c r="N41" i="107" s="1"/>
  <c r="O41" i="107"/>
  <c r="X41" i="107"/>
  <c r="W31" i="107"/>
  <c r="W41" i="107" s="1"/>
  <c r="Z29" i="107"/>
  <c r="Z25" i="107"/>
  <c r="H23" i="107"/>
  <c r="F41" i="107"/>
  <c r="E31" i="107"/>
  <c r="I41" i="107"/>
  <c r="H31" i="107"/>
  <c r="H41" i="107" s="1"/>
  <c r="H20" i="107"/>
  <c r="W18" i="107"/>
  <c r="E30" i="107"/>
  <c r="K28" i="107"/>
  <c r="H27" i="107"/>
  <c r="N21" i="107"/>
  <c r="Z31" i="107"/>
  <c r="Z41" i="107" s="1"/>
  <c r="AA41" i="107"/>
  <c r="L41" i="107"/>
  <c r="K31" i="107"/>
  <c r="K41" i="107" s="1"/>
  <c r="D39" i="107"/>
  <c r="N29" i="107"/>
  <c r="N25" i="107"/>
  <c r="T23" i="107"/>
  <c r="R41" i="107"/>
  <c r="Q31" i="107"/>
  <c r="Q41" i="107" s="1"/>
  <c r="T31" i="107"/>
  <c r="T41" i="107" s="1"/>
  <c r="U41" i="107"/>
  <c r="Q30" i="107"/>
  <c r="W28" i="107"/>
  <c r="T27" i="107"/>
  <c r="Z21" i="107"/>
  <c r="G14" i="109" l="1"/>
  <c r="E11" i="107"/>
  <c r="N26" i="107"/>
  <c r="T20" i="107"/>
  <c r="Z20" i="107"/>
  <c r="N18" i="107"/>
  <c r="H19" i="107"/>
  <c r="G12" i="107"/>
  <c r="Z17" i="107"/>
  <c r="N20" i="107"/>
  <c r="K18" i="107"/>
  <c r="D25" i="107"/>
  <c r="H11" i="107"/>
  <c r="J32" i="107"/>
  <c r="J34" i="107" s="1"/>
  <c r="W11" i="107"/>
  <c r="N22" i="107"/>
  <c r="Y32" i="107"/>
  <c r="Y34" i="107" s="1"/>
  <c r="D28" i="107"/>
  <c r="Q11" i="107"/>
  <c r="W20" i="107"/>
  <c r="D29" i="107"/>
  <c r="P32" i="107"/>
  <c r="P34" i="107" s="1"/>
  <c r="S12" i="107"/>
  <c r="D27" i="107"/>
  <c r="D21" i="107"/>
  <c r="V12" i="107"/>
  <c r="E10" i="107"/>
  <c r="E16" i="107"/>
  <c r="H18" i="107"/>
  <c r="T18" i="107"/>
  <c r="T11" i="107"/>
  <c r="T19" i="107"/>
  <c r="Z11" i="107"/>
  <c r="Y12" i="107"/>
  <c r="K11" i="107"/>
  <c r="Q20" i="107"/>
  <c r="J12" i="107"/>
  <c r="N11" i="107"/>
  <c r="N17" i="107"/>
  <c r="Q18" i="107"/>
  <c r="V32" i="107"/>
  <c r="V34" i="107" s="1"/>
  <c r="G32" i="107"/>
  <c r="G34" i="107" s="1"/>
  <c r="E20" i="107"/>
  <c r="M12" i="107"/>
  <c r="AB32" i="107"/>
  <c r="AB34" i="107" s="1"/>
  <c r="M32" i="107"/>
  <c r="M34" i="107" s="1"/>
  <c r="P12" i="107"/>
  <c r="I12" i="107"/>
  <c r="H10" i="107"/>
  <c r="R12" i="107"/>
  <c r="Q10" i="107"/>
  <c r="U12" i="107"/>
  <c r="T10" i="107"/>
  <c r="K10" i="107"/>
  <c r="L12" i="107"/>
  <c r="K22" i="107"/>
  <c r="K17" i="107"/>
  <c r="W16" i="107"/>
  <c r="E15" i="107"/>
  <c r="D15" i="107" s="1"/>
  <c r="W10" i="107"/>
  <c r="X12" i="107"/>
  <c r="W22" i="107"/>
  <c r="W17" i="107"/>
  <c r="H16" i="107"/>
  <c r="D31" i="107"/>
  <c r="E41" i="107"/>
  <c r="D41" i="107" s="1"/>
  <c r="K24" i="107"/>
  <c r="K19" i="107"/>
  <c r="T22" i="107"/>
  <c r="T17" i="107"/>
  <c r="D9" i="107"/>
  <c r="H24" i="107"/>
  <c r="E18" i="107"/>
  <c r="Z18" i="107"/>
  <c r="AB12" i="107"/>
  <c r="N24" i="107"/>
  <c r="N19" i="107"/>
  <c r="Q22" i="107"/>
  <c r="Q17" i="107"/>
  <c r="N33" i="107"/>
  <c r="H26" i="107"/>
  <c r="Z24" i="107"/>
  <c r="Z19" i="107"/>
  <c r="K16" i="107"/>
  <c r="Z33" i="107"/>
  <c r="D23" i="107"/>
  <c r="Z26" i="107"/>
  <c r="Q26" i="107"/>
  <c r="W24" i="107"/>
  <c r="W19" i="107"/>
  <c r="K26" i="107"/>
  <c r="O12" i="107"/>
  <c r="E26" i="107"/>
  <c r="W26" i="107"/>
  <c r="E22" i="107"/>
  <c r="E17" i="107"/>
  <c r="Z22" i="107"/>
  <c r="N16" i="107"/>
  <c r="E24" i="107"/>
  <c r="E19" i="107"/>
  <c r="T16" i="107"/>
  <c r="H22" i="107"/>
  <c r="H17" i="107"/>
  <c r="Z16" i="107"/>
  <c r="Q16" i="107"/>
  <c r="Q24" i="107"/>
  <c r="Q19" i="107"/>
  <c r="T26" i="107"/>
  <c r="AA12" i="107"/>
  <c r="D30" i="107"/>
  <c r="K20" i="107"/>
  <c r="S32" i="107"/>
  <c r="S34" i="107" s="1"/>
  <c r="F12" i="107"/>
  <c r="E12" i="107" l="1"/>
  <c r="H12" i="107"/>
  <c r="Y35" i="107"/>
  <c r="Y40" i="107" s="1"/>
  <c r="M35" i="107"/>
  <c r="M40" i="107" s="1"/>
  <c r="G35" i="107"/>
  <c r="G40" i="107" s="1"/>
  <c r="S35" i="107"/>
  <c r="S40" i="107" s="1"/>
  <c r="N10" i="107"/>
  <c r="N12" i="107" s="1"/>
  <c r="W12" i="107"/>
  <c r="K12" i="107"/>
  <c r="J35" i="107"/>
  <c r="J40" i="107" s="1"/>
  <c r="D20" i="107"/>
  <c r="AF20" i="107" s="1"/>
  <c r="V35" i="107"/>
  <c r="V40" i="107" s="1"/>
  <c r="T12" i="107"/>
  <c r="Q12" i="107"/>
  <c r="D11" i="107"/>
  <c r="D18" i="107"/>
  <c r="AF18" i="107" s="1"/>
  <c r="P35" i="107"/>
  <c r="P40" i="107" s="1"/>
  <c r="L32" i="107"/>
  <c r="K32" i="107" s="1"/>
  <c r="U32" i="107"/>
  <c r="T32" i="107" s="1"/>
  <c r="D16" i="107"/>
  <c r="AF16" i="107" s="1"/>
  <c r="D24" i="107"/>
  <c r="E33" i="107"/>
  <c r="K33" i="107"/>
  <c r="Q33" i="107"/>
  <c r="D22" i="107"/>
  <c r="Z10" i="107"/>
  <c r="AA32" i="107"/>
  <c r="O32" i="107"/>
  <c r="D17" i="107"/>
  <c r="AF17" i="107" s="1"/>
  <c r="F32" i="107"/>
  <c r="E32" i="107" s="1"/>
  <c r="H33" i="107"/>
  <c r="T33" i="107"/>
  <c r="W33" i="107"/>
  <c r="AB35" i="107"/>
  <c r="AB40" i="107" s="1"/>
  <c r="R32" i="107"/>
  <c r="Q32" i="107" s="1"/>
  <c r="D19" i="107"/>
  <c r="AF19" i="107" s="1"/>
  <c r="I32" i="107"/>
  <c r="H32" i="107" s="1"/>
  <c r="D26" i="107"/>
  <c r="X32" i="107"/>
  <c r="W32" i="107" s="1"/>
  <c r="R12" i="109"/>
  <c r="O12" i="109"/>
  <c r="O18" i="109" s="1"/>
  <c r="J12" i="109"/>
  <c r="R18" i="109" l="1"/>
  <c r="R33" i="109" s="1"/>
  <c r="X12" i="109"/>
  <c r="G12" i="109"/>
  <c r="P12" i="109"/>
  <c r="D9" i="112"/>
  <c r="D9" i="111"/>
  <c r="U34" i="107"/>
  <c r="U35" i="107" s="1"/>
  <c r="U40" i="107" s="1"/>
  <c r="AD40" i="107"/>
  <c r="L34" i="107"/>
  <c r="K34" i="107" s="1"/>
  <c r="K35" i="107" s="1"/>
  <c r="Z12" i="107"/>
  <c r="D10" i="107"/>
  <c r="D12" i="107" s="1"/>
  <c r="AE11" i="107" s="1"/>
  <c r="Z32" i="107"/>
  <c r="AA34" i="107"/>
  <c r="X34" i="107"/>
  <c r="D33" i="107"/>
  <c r="AF33" i="107" s="1"/>
  <c r="I34" i="107"/>
  <c r="N32" i="107"/>
  <c r="O34" i="107"/>
  <c r="R34" i="107"/>
  <c r="F34" i="107"/>
  <c r="X18" i="109" l="1"/>
  <c r="T34" i="107"/>
  <c r="T35" i="107" s="1"/>
  <c r="T40" i="107" s="1"/>
  <c r="L35" i="107"/>
  <c r="L40" i="107" s="1"/>
  <c r="D32" i="107"/>
  <c r="H34" i="107"/>
  <c r="H35" i="107" s="1"/>
  <c r="I35" i="107"/>
  <c r="I40" i="107" s="1"/>
  <c r="AA35" i="107"/>
  <c r="AA40" i="107" s="1"/>
  <c r="Z34" i="107"/>
  <c r="Z35" i="107" s="1"/>
  <c r="R35" i="107"/>
  <c r="R40" i="107" s="1"/>
  <c r="Q34" i="107"/>
  <c r="Q35" i="107" s="1"/>
  <c r="F35" i="107"/>
  <c r="F40" i="107" s="1"/>
  <c r="E34" i="107"/>
  <c r="O35" i="107"/>
  <c r="O40" i="107" s="1"/>
  <c r="N34" i="107"/>
  <c r="N35" i="107" s="1"/>
  <c r="W34" i="107"/>
  <c r="W35" i="107" s="1"/>
  <c r="X35" i="107"/>
  <c r="X40" i="107" s="1"/>
  <c r="K40" i="107"/>
  <c r="K38" i="107"/>
  <c r="K80" i="97"/>
  <c r="H80" i="97"/>
  <c r="C80" i="97" s="1"/>
  <c r="J28" i="77"/>
  <c r="J13" i="77" s="1"/>
  <c r="M28" i="77"/>
  <c r="M13" i="77" s="1"/>
  <c r="M34" i="77" s="1"/>
  <c r="N28" i="77"/>
  <c r="F4" i="102"/>
  <c r="K34" i="77" l="1"/>
  <c r="D97" i="72"/>
  <c r="J34" i="77"/>
  <c r="K27" i="118" s="1"/>
  <c r="M37" i="80"/>
  <c r="N37" i="81" s="1"/>
  <c r="W14" i="72"/>
  <c r="G15" i="117"/>
  <c r="T38" i="107"/>
  <c r="H38" i="107"/>
  <c r="H40" i="107"/>
  <c r="N40" i="107"/>
  <c r="N38" i="107"/>
  <c r="Q38" i="107"/>
  <c r="Q40" i="107"/>
  <c r="W40" i="107"/>
  <c r="W38" i="107"/>
  <c r="D34" i="107"/>
  <c r="AF34" i="107" s="1"/>
  <c r="E35" i="107"/>
  <c r="Z40" i="107"/>
  <c r="Z38" i="107"/>
  <c r="E80" i="97"/>
  <c r="H28" i="77"/>
  <c r="K28" i="77"/>
  <c r="C28" i="77" s="1"/>
  <c r="H40" i="77" l="1"/>
  <c r="H41" i="77" s="1"/>
  <c r="Z28" i="77"/>
  <c r="AC80" i="97"/>
  <c r="D12" i="111"/>
  <c r="D12" i="112"/>
  <c r="D15" i="112" s="1"/>
  <c r="H5" i="112"/>
  <c r="H5" i="111"/>
  <c r="J5" i="111"/>
  <c r="J5" i="112"/>
  <c r="I5" i="112"/>
  <c r="I5" i="111"/>
  <c r="E38" i="107"/>
  <c r="AD38" i="107" s="1"/>
  <c r="D35" i="107"/>
  <c r="D43" i="107" s="1"/>
  <c r="E40" i="107"/>
  <c r="D40" i="107" s="1"/>
  <c r="H12" i="106" l="1"/>
  <c r="G12" i="106"/>
  <c r="D31" i="117"/>
  <c r="D32" i="117" s="1"/>
  <c r="D38" i="107"/>
  <c r="C5" i="108" l="1"/>
  <c r="C9" i="108" s="1"/>
  <c r="D5" i="108" l="1"/>
  <c r="D9" i="108" s="1"/>
  <c r="M57" i="80" l="1"/>
  <c r="F10" i="102"/>
  <c r="J10" i="109"/>
  <c r="E9" i="72"/>
  <c r="H20" i="97"/>
  <c r="C20" i="97" s="1"/>
  <c r="E20" i="97"/>
  <c r="I94" i="97"/>
  <c r="H17" i="106" s="1"/>
  <c r="J94" i="97"/>
  <c r="H12" i="97"/>
  <c r="C12" i="97" s="1"/>
  <c r="H11" i="97"/>
  <c r="C11" i="97" s="1"/>
  <c r="O31" i="109"/>
  <c r="O33" i="109" s="1"/>
  <c r="E12" i="97"/>
  <c r="F27" i="102"/>
  <c r="B7" i="97"/>
  <c r="K71" i="72"/>
  <c r="H71" i="72"/>
  <c r="E71" i="72"/>
  <c r="K88" i="97"/>
  <c r="H88" i="97"/>
  <c r="E88" i="97"/>
  <c r="N33" i="77"/>
  <c r="G18" i="118" s="1"/>
  <c r="K33" i="77"/>
  <c r="H33" i="77"/>
  <c r="K40" i="97"/>
  <c r="H40" i="97"/>
  <c r="E40" i="97"/>
  <c r="G10" i="102"/>
  <c r="P45" i="80"/>
  <c r="F42" i="102"/>
  <c r="F55" i="102"/>
  <c r="F41" i="102"/>
  <c r="K62" i="72"/>
  <c r="K91" i="97"/>
  <c r="H91" i="97"/>
  <c r="E91" i="97"/>
  <c r="K90" i="97"/>
  <c r="H90" i="97"/>
  <c r="E90" i="97"/>
  <c r="G22" i="81"/>
  <c r="H22" i="81"/>
  <c r="J22" i="81"/>
  <c r="K22" i="81"/>
  <c r="N10" i="77"/>
  <c r="C10" i="77" s="1"/>
  <c r="M94" i="97"/>
  <c r="K10" i="97"/>
  <c r="H10" i="97"/>
  <c r="E10" i="97"/>
  <c r="E11" i="97"/>
  <c r="K66" i="72"/>
  <c r="H66" i="72"/>
  <c r="E66" i="72"/>
  <c r="K65" i="72"/>
  <c r="H65" i="72"/>
  <c r="E65" i="72"/>
  <c r="X36" i="97"/>
  <c r="K36" i="97"/>
  <c r="C36" i="97" s="1"/>
  <c r="H49" i="72"/>
  <c r="X37" i="97"/>
  <c r="X38" i="97"/>
  <c r="X35" i="97"/>
  <c r="X31" i="97"/>
  <c r="W8" i="92"/>
  <c r="L92" i="97"/>
  <c r="K29" i="109" s="1"/>
  <c r="F92" i="97"/>
  <c r="M92" i="97"/>
  <c r="M93" i="97" s="1"/>
  <c r="I16" i="106" s="1"/>
  <c r="J92" i="97"/>
  <c r="I92" i="97"/>
  <c r="H29" i="109" s="1"/>
  <c r="G92" i="97"/>
  <c r="G93" i="97" s="1"/>
  <c r="G16" i="106" s="1"/>
  <c r="G89" i="72"/>
  <c r="J89" i="72"/>
  <c r="M89" i="72"/>
  <c r="M90" i="72" s="1"/>
  <c r="I9" i="106" s="1"/>
  <c r="K87" i="72"/>
  <c r="H87" i="72"/>
  <c r="E87" i="72"/>
  <c r="K15" i="81"/>
  <c r="L15" i="81" s="1"/>
  <c r="M15" i="81" s="1"/>
  <c r="N15" i="81" s="1"/>
  <c r="AJ27" i="101"/>
  <c r="AF27" i="101"/>
  <c r="AH28" i="101" s="1"/>
  <c r="AH30" i="101" s="1"/>
  <c r="AJ26" i="101"/>
  <c r="AF18" i="101"/>
  <c r="AB18" i="101"/>
  <c r="U34" i="101" s="1"/>
  <c r="U18" i="101"/>
  <c r="T18" i="101"/>
  <c r="N18" i="101"/>
  <c r="M18" i="101"/>
  <c r="L18" i="101"/>
  <c r="K18" i="101"/>
  <c r="J18" i="101"/>
  <c r="I18" i="101"/>
  <c r="H18" i="101"/>
  <c r="AA17" i="101"/>
  <c r="R17" i="101" s="1"/>
  <c r="T17" i="101"/>
  <c r="T15" i="101" s="1"/>
  <c r="Q17" i="101"/>
  <c r="Q15" i="101" s="1"/>
  <c r="P17" i="101"/>
  <c r="AA16" i="101"/>
  <c r="W16" i="101"/>
  <c r="P16" i="101"/>
  <c r="O16" i="101"/>
  <c r="AC18" i="101"/>
  <c r="U35" i="101" s="1"/>
  <c r="Z15" i="101"/>
  <c r="Z18" i="101" s="1"/>
  <c r="Y15" i="101"/>
  <c r="Y18" i="101" s="1"/>
  <c r="X15" i="101"/>
  <c r="V15" i="101"/>
  <c r="V18" i="101" s="1"/>
  <c r="S15" i="101"/>
  <c r="AA14" i="101"/>
  <c r="W14" i="101"/>
  <c r="P14" i="101"/>
  <c r="X13" i="101"/>
  <c r="AA13" i="101" s="1"/>
  <c r="S13" i="101"/>
  <c r="W13" i="101" s="1"/>
  <c r="O13" i="101"/>
  <c r="X12" i="101"/>
  <c r="AA12" i="101" s="1"/>
  <c r="S12" i="101"/>
  <c r="W12" i="101" s="1"/>
  <c r="O12" i="101"/>
  <c r="AA11" i="101"/>
  <c r="S11" i="101"/>
  <c r="P11" i="101" s="1"/>
  <c r="O11" i="101"/>
  <c r="AA10" i="101"/>
  <c r="W10" i="101"/>
  <c r="P10" i="101"/>
  <c r="O10" i="101"/>
  <c r="AA9" i="101"/>
  <c r="W9" i="101"/>
  <c r="P9" i="101"/>
  <c r="O9" i="101"/>
  <c r="AA8" i="101"/>
  <c r="R8" i="101" s="1"/>
  <c r="P8" i="101"/>
  <c r="O8" i="101"/>
  <c r="AH7" i="101"/>
  <c r="AA7" i="101"/>
  <c r="W7" i="101"/>
  <c r="P7" i="101"/>
  <c r="O7" i="101"/>
  <c r="AA6" i="101"/>
  <c r="W6" i="101"/>
  <c r="Q6" i="101"/>
  <c r="O6" i="101" s="1"/>
  <c r="P6" i="101"/>
  <c r="Z15" i="92"/>
  <c r="Z18" i="92" s="1"/>
  <c r="Y15" i="92"/>
  <c r="V15" i="92"/>
  <c r="V18" i="92" s="1"/>
  <c r="U18" i="92"/>
  <c r="AA16" i="92"/>
  <c r="AA17" i="92"/>
  <c r="R17" i="92" s="1"/>
  <c r="AA14" i="92"/>
  <c r="AA9" i="92"/>
  <c r="AA10" i="92"/>
  <c r="AA11" i="92"/>
  <c r="AA7" i="92"/>
  <c r="AA8" i="92"/>
  <c r="AA6" i="92"/>
  <c r="W16" i="92"/>
  <c r="X13" i="92"/>
  <c r="AA13" i="92" s="1"/>
  <c r="S13" i="92"/>
  <c r="X12" i="92"/>
  <c r="AA12" i="92" s="1"/>
  <c r="S12" i="92"/>
  <c r="W12" i="92" s="1"/>
  <c r="W7" i="92"/>
  <c r="R7" i="92" s="1"/>
  <c r="W9" i="92"/>
  <c r="W10" i="92"/>
  <c r="W14" i="92"/>
  <c r="S15" i="92"/>
  <c r="W6" i="92"/>
  <c r="P14" i="92"/>
  <c r="AF18" i="92"/>
  <c r="AB18" i="92"/>
  <c r="U34" i="92" s="1"/>
  <c r="AC18" i="92"/>
  <c r="U35" i="92" s="1"/>
  <c r="P17" i="92"/>
  <c r="P8" i="92"/>
  <c r="P9" i="92"/>
  <c r="P10" i="92"/>
  <c r="P16" i="92"/>
  <c r="P6" i="92"/>
  <c r="C9" i="96"/>
  <c r="D9" i="96"/>
  <c r="E9" i="96"/>
  <c r="F9" i="96"/>
  <c r="G9" i="96"/>
  <c r="B9" i="96"/>
  <c r="Q41" i="99"/>
  <c r="P41" i="99"/>
  <c r="O41" i="99"/>
  <c r="E35" i="99"/>
  <c r="F35" i="99"/>
  <c r="H35" i="99"/>
  <c r="I35" i="99"/>
  <c r="G33" i="99"/>
  <c r="D33" i="99"/>
  <c r="G31" i="99"/>
  <c r="D31" i="99"/>
  <c r="G29" i="99"/>
  <c r="D29" i="99"/>
  <c r="K27" i="99"/>
  <c r="J27" i="99" s="1"/>
  <c r="G27" i="99"/>
  <c r="D27" i="99"/>
  <c r="L24" i="99"/>
  <c r="L35" i="99" s="1"/>
  <c r="K24" i="99"/>
  <c r="G24" i="99"/>
  <c r="D24" i="99"/>
  <c r="E34" i="99"/>
  <c r="F34" i="99"/>
  <c r="H34" i="99"/>
  <c r="I34" i="99"/>
  <c r="K34" i="99"/>
  <c r="L34" i="99"/>
  <c r="D32" i="99"/>
  <c r="J26" i="99"/>
  <c r="G26" i="99"/>
  <c r="D26" i="99"/>
  <c r="J25" i="99"/>
  <c r="G25" i="99"/>
  <c r="Q35" i="99"/>
  <c r="P35" i="99"/>
  <c r="O35" i="99"/>
  <c r="E21" i="99"/>
  <c r="E38" i="99" s="1"/>
  <c r="F21" i="99"/>
  <c r="H21" i="99"/>
  <c r="I21" i="99"/>
  <c r="I38" i="99" s="1"/>
  <c r="G19" i="99"/>
  <c r="D19" i="99"/>
  <c r="G15" i="99"/>
  <c r="D15" i="99"/>
  <c r="G17" i="99"/>
  <c r="D17" i="99"/>
  <c r="K17" i="99"/>
  <c r="J17" i="99" s="1"/>
  <c r="G13" i="99"/>
  <c r="D13" i="99"/>
  <c r="K13" i="99"/>
  <c r="J13" i="99" s="1"/>
  <c r="D11" i="99"/>
  <c r="J9" i="99"/>
  <c r="J8" i="99"/>
  <c r="J12" i="99"/>
  <c r="J16" i="99"/>
  <c r="G7" i="99"/>
  <c r="D7" i="99"/>
  <c r="D18" i="99"/>
  <c r="D16" i="99"/>
  <c r="D12" i="99"/>
  <c r="D10" i="99"/>
  <c r="L7" i="99"/>
  <c r="L21" i="99" s="1"/>
  <c r="K7" i="99"/>
  <c r="E20" i="99"/>
  <c r="F20" i="99"/>
  <c r="H20" i="99"/>
  <c r="I20" i="99"/>
  <c r="K20" i="99"/>
  <c r="L20" i="99"/>
  <c r="G16" i="99"/>
  <c r="G12" i="99"/>
  <c r="G8" i="99"/>
  <c r="L6" i="95"/>
  <c r="B7" i="95"/>
  <c r="D10" i="95"/>
  <c r="C10" i="95" s="1"/>
  <c r="A11" i="95"/>
  <c r="A12" i="95" s="1"/>
  <c r="A13" i="95" s="1"/>
  <c r="D11" i="95"/>
  <c r="C11" i="95" s="1"/>
  <c r="D12" i="95"/>
  <c r="C12" i="95" s="1"/>
  <c r="D13" i="95"/>
  <c r="C13" i="95" s="1"/>
  <c r="C14" i="95"/>
  <c r="E15" i="95"/>
  <c r="E172" i="95" s="1"/>
  <c r="D172" i="95" s="1"/>
  <c r="F15" i="95"/>
  <c r="J18" i="95"/>
  <c r="N18" i="95"/>
  <c r="N20" i="95" s="1"/>
  <c r="O18" i="95"/>
  <c r="O20" i="95" s="1"/>
  <c r="J19" i="95"/>
  <c r="M19" i="95"/>
  <c r="K20" i="95"/>
  <c r="K25" i="95" s="1"/>
  <c r="K173" i="95" s="1"/>
  <c r="L20" i="95"/>
  <c r="L25" i="95" s="1"/>
  <c r="L173" i="95" s="1"/>
  <c r="J21" i="95"/>
  <c r="M21" i="95"/>
  <c r="J22" i="95"/>
  <c r="M22" i="95"/>
  <c r="J23" i="95"/>
  <c r="M23" i="95"/>
  <c r="N24" i="95"/>
  <c r="O24" i="95"/>
  <c r="D25" i="95"/>
  <c r="G25" i="95"/>
  <c r="D27" i="95"/>
  <c r="G27" i="95"/>
  <c r="M27" i="95"/>
  <c r="D28" i="95"/>
  <c r="G28" i="95"/>
  <c r="M28" i="95"/>
  <c r="E29" i="95"/>
  <c r="E174" i="95" s="1"/>
  <c r="F29" i="95"/>
  <c r="F174" i="95" s="1"/>
  <c r="H29" i="95"/>
  <c r="H174" i="95" s="1"/>
  <c r="G174" i="95" s="1"/>
  <c r="E31" i="95"/>
  <c r="D31" i="95" s="1"/>
  <c r="H31" i="95"/>
  <c r="G31" i="95" s="1"/>
  <c r="K31" i="95"/>
  <c r="J31" i="95" s="1"/>
  <c r="M31" i="95"/>
  <c r="D32" i="95"/>
  <c r="G32" i="95"/>
  <c r="M32" i="95"/>
  <c r="H33" i="95"/>
  <c r="G33" i="95" s="1"/>
  <c r="K33" i="95"/>
  <c r="J33" i="95" s="1"/>
  <c r="M33" i="95"/>
  <c r="N34" i="95"/>
  <c r="M34" i="95" s="1"/>
  <c r="C34" i="95" s="1"/>
  <c r="D35" i="95"/>
  <c r="K35" i="95"/>
  <c r="J35" i="95" s="1"/>
  <c r="D36" i="95"/>
  <c r="H36" i="95"/>
  <c r="K36" i="95"/>
  <c r="J36" i="95" s="1"/>
  <c r="D37" i="95"/>
  <c r="C37" i="95" s="1"/>
  <c r="C38" i="95"/>
  <c r="D39" i="95"/>
  <c r="C39" i="95" s="1"/>
  <c r="D40" i="95"/>
  <c r="C40" i="95" s="1"/>
  <c r="D41" i="95"/>
  <c r="C41" i="95" s="1"/>
  <c r="K42" i="95"/>
  <c r="J42" i="95" s="1"/>
  <c r="N42" i="95"/>
  <c r="M42" i="95" s="1"/>
  <c r="D43" i="95"/>
  <c r="G43" i="95"/>
  <c r="M43" i="95"/>
  <c r="D44" i="95"/>
  <c r="G44" i="95"/>
  <c r="M44" i="95"/>
  <c r="D45" i="95"/>
  <c r="G45" i="95"/>
  <c r="M45" i="95"/>
  <c r="D46" i="95"/>
  <c r="G46" i="95"/>
  <c r="M46" i="95"/>
  <c r="D47" i="95"/>
  <c r="G47" i="95"/>
  <c r="M47" i="95"/>
  <c r="D48" i="95"/>
  <c r="G48" i="95"/>
  <c r="M48" i="95"/>
  <c r="D49" i="95"/>
  <c r="G49" i="95"/>
  <c r="M49" i="95"/>
  <c r="D50" i="95"/>
  <c r="G50" i="95"/>
  <c r="M50" i="95"/>
  <c r="D51" i="95"/>
  <c r="G51" i="95"/>
  <c r="M51" i="95"/>
  <c r="D52" i="95"/>
  <c r="G52" i="95"/>
  <c r="M52" i="95"/>
  <c r="D53" i="95"/>
  <c r="H53" i="95"/>
  <c r="M53" i="95"/>
  <c r="D54" i="95"/>
  <c r="H54" i="95"/>
  <c r="G54" i="95" s="1"/>
  <c r="M54" i="95"/>
  <c r="D55" i="95"/>
  <c r="G55" i="95"/>
  <c r="M55" i="95"/>
  <c r="D56" i="95"/>
  <c r="G56" i="95"/>
  <c r="M56" i="95"/>
  <c r="D57" i="95"/>
  <c r="G57" i="95"/>
  <c r="M57" i="95"/>
  <c r="G58" i="95"/>
  <c r="C58" i="95" s="1"/>
  <c r="D59" i="95"/>
  <c r="G59" i="95"/>
  <c r="M59" i="95"/>
  <c r="D60" i="95"/>
  <c r="G60" i="95"/>
  <c r="M60" i="95"/>
  <c r="E61" i="95"/>
  <c r="E66" i="95" s="1"/>
  <c r="G61" i="95"/>
  <c r="J61" i="95"/>
  <c r="M61" i="95"/>
  <c r="D62" i="95"/>
  <c r="G62" i="95"/>
  <c r="M62" i="95"/>
  <c r="D63" i="95"/>
  <c r="G63" i="95"/>
  <c r="M63" i="95"/>
  <c r="D64" i="95"/>
  <c r="G64" i="95"/>
  <c r="M64" i="95"/>
  <c r="D65" i="95"/>
  <c r="G65" i="95"/>
  <c r="M65" i="95"/>
  <c r="F66" i="95"/>
  <c r="F68" i="95" s="1"/>
  <c r="I66" i="95"/>
  <c r="I68" i="95" s="1"/>
  <c r="L66" i="95"/>
  <c r="L68" i="95" s="1"/>
  <c r="O66" i="95"/>
  <c r="O68" i="95" s="1"/>
  <c r="E67" i="95"/>
  <c r="D67" i="95" s="1"/>
  <c r="C67" i="95" s="1"/>
  <c r="D70" i="95"/>
  <c r="G70" i="95"/>
  <c r="K86" i="95"/>
  <c r="D87" i="95"/>
  <c r="K87" i="95"/>
  <c r="J87" i="95" s="1"/>
  <c r="D88" i="95"/>
  <c r="C88" i="95" s="1"/>
  <c r="H89" i="95"/>
  <c r="G89" i="95" s="1"/>
  <c r="C89" i="95" s="1"/>
  <c r="H90" i="95"/>
  <c r="G90" i="95" s="1"/>
  <c r="C90" i="95" s="1"/>
  <c r="E91" i="95"/>
  <c r="D91" i="95" s="1"/>
  <c r="G91" i="95"/>
  <c r="N92" i="95"/>
  <c r="M92" i="95" s="1"/>
  <c r="C92" i="95" s="1"/>
  <c r="D93" i="95"/>
  <c r="G93" i="95"/>
  <c r="N93" i="95"/>
  <c r="M93" i="95" s="1"/>
  <c r="E94" i="95"/>
  <c r="H94" i="95"/>
  <c r="G94" i="95" s="1"/>
  <c r="D95" i="95"/>
  <c r="H95" i="95"/>
  <c r="G95" i="95" s="1"/>
  <c r="D96" i="95"/>
  <c r="G96" i="95"/>
  <c r="K96" i="95"/>
  <c r="J96" i="95" s="1"/>
  <c r="M96" i="95"/>
  <c r="D97" i="95"/>
  <c r="G97" i="95"/>
  <c r="N97" i="95"/>
  <c r="M97" i="95" s="1"/>
  <c r="D98" i="95"/>
  <c r="G98" i="95"/>
  <c r="N98" i="95"/>
  <c r="M98" i="95" s="1"/>
  <c r="D99" i="95"/>
  <c r="G99" i="95"/>
  <c r="N99" i="95"/>
  <c r="M99" i="95" s="1"/>
  <c r="D100" i="95"/>
  <c r="G100" i="95"/>
  <c r="N100" i="95"/>
  <c r="M100" i="95" s="1"/>
  <c r="D101" i="95"/>
  <c r="G101" i="95"/>
  <c r="N101" i="95"/>
  <c r="M101" i="95" s="1"/>
  <c r="D102" i="95"/>
  <c r="G102" i="95"/>
  <c r="N102" i="95"/>
  <c r="M102" i="95" s="1"/>
  <c r="D103" i="95"/>
  <c r="G103" i="95"/>
  <c r="N103" i="95"/>
  <c r="M103" i="95" s="1"/>
  <c r="D104" i="95"/>
  <c r="G104" i="95"/>
  <c r="N104" i="95"/>
  <c r="M104" i="95" s="1"/>
  <c r="D105" i="95"/>
  <c r="G105" i="95"/>
  <c r="N105" i="95"/>
  <c r="M105" i="95" s="1"/>
  <c r="D106" i="95"/>
  <c r="G106" i="95"/>
  <c r="N106" i="95"/>
  <c r="M106" i="95" s="1"/>
  <c r="D107" i="95"/>
  <c r="G107" i="95"/>
  <c r="N107" i="95"/>
  <c r="M107" i="95" s="1"/>
  <c r="D108" i="95"/>
  <c r="G108" i="95"/>
  <c r="N108" i="95"/>
  <c r="M108" i="95" s="1"/>
  <c r="D109" i="95"/>
  <c r="G109" i="95"/>
  <c r="N109" i="95"/>
  <c r="M109" i="95" s="1"/>
  <c r="D110" i="95"/>
  <c r="G110" i="95"/>
  <c r="M110" i="95"/>
  <c r="D111" i="95"/>
  <c r="G111" i="95"/>
  <c r="N111" i="95"/>
  <c r="M111" i="95" s="1"/>
  <c r="D112" i="95"/>
  <c r="G112" i="95"/>
  <c r="N112" i="95"/>
  <c r="M112" i="95" s="1"/>
  <c r="D113" i="95"/>
  <c r="G113" i="95"/>
  <c r="N113" i="95"/>
  <c r="M113" i="95" s="1"/>
  <c r="D114" i="95"/>
  <c r="G114" i="95"/>
  <c r="N114" i="95"/>
  <c r="M114" i="95" s="1"/>
  <c r="E115" i="95"/>
  <c r="D115" i="95" s="1"/>
  <c r="G115" i="95"/>
  <c r="D116" i="95"/>
  <c r="G116" i="95"/>
  <c r="E117" i="95"/>
  <c r="D117" i="95" s="1"/>
  <c r="C117" i="95" s="1"/>
  <c r="D118" i="95"/>
  <c r="G118" i="95"/>
  <c r="D119" i="95"/>
  <c r="G119" i="95"/>
  <c r="D120" i="95"/>
  <c r="G120" i="95"/>
  <c r="D121" i="95"/>
  <c r="G121" i="95"/>
  <c r="G122" i="95"/>
  <c r="C122" i="95" s="1"/>
  <c r="E123" i="95"/>
  <c r="D123" i="95" s="1"/>
  <c r="G123" i="95"/>
  <c r="D124" i="95"/>
  <c r="G124" i="95"/>
  <c r="D125" i="95"/>
  <c r="G125" i="95"/>
  <c r="N125" i="95"/>
  <c r="M125" i="95" s="1"/>
  <c r="D126" i="95"/>
  <c r="G126" i="95"/>
  <c r="N126" i="95"/>
  <c r="M126" i="95" s="1"/>
  <c r="D127" i="95"/>
  <c r="G127" i="95"/>
  <c r="N127" i="95"/>
  <c r="M127" i="95" s="1"/>
  <c r="D128" i="95"/>
  <c r="C128" i="95" s="1"/>
  <c r="D129" i="95"/>
  <c r="G129" i="95"/>
  <c r="M129" i="95"/>
  <c r="A130" i="95"/>
  <c r="A146" i="95" s="1"/>
  <c r="A153" i="95" s="1"/>
  <c r="F130" i="95"/>
  <c r="I130" i="95"/>
  <c r="L130" i="95"/>
  <c r="O130" i="95"/>
  <c r="H131" i="95"/>
  <c r="G131" i="95" s="1"/>
  <c r="C131" i="95" s="1"/>
  <c r="D132" i="95"/>
  <c r="H132" i="95"/>
  <c r="G132" i="95" s="1"/>
  <c r="M132" i="95"/>
  <c r="D133" i="95"/>
  <c r="H133" i="95"/>
  <c r="G133" i="95" s="1"/>
  <c r="M133" i="95"/>
  <c r="D134" i="95"/>
  <c r="G134" i="95"/>
  <c r="M134" i="95"/>
  <c r="E135" i="95"/>
  <c r="D135" i="95" s="1"/>
  <c r="G135" i="95"/>
  <c r="M135" i="95"/>
  <c r="D136" i="95"/>
  <c r="H136" i="95"/>
  <c r="G136" i="95" s="1"/>
  <c r="M136" i="95"/>
  <c r="D137" i="95"/>
  <c r="H137" i="95"/>
  <c r="G137" i="95" s="1"/>
  <c r="M137" i="95"/>
  <c r="D138" i="95"/>
  <c r="G138" i="95"/>
  <c r="M138" i="95"/>
  <c r="D139" i="95"/>
  <c r="G139" i="95"/>
  <c r="M139" i="95"/>
  <c r="E140" i="95"/>
  <c r="D140" i="95" s="1"/>
  <c r="G140" i="95"/>
  <c r="M140" i="95"/>
  <c r="E141" i="95"/>
  <c r="D141" i="95" s="1"/>
  <c r="G141" i="95"/>
  <c r="M141" i="95"/>
  <c r="D142" i="95"/>
  <c r="G142" i="95"/>
  <c r="M142" i="95"/>
  <c r="D143" i="95"/>
  <c r="G143" i="95"/>
  <c r="M143" i="95"/>
  <c r="F144" i="95"/>
  <c r="F146" i="95" s="1"/>
  <c r="I144" i="95"/>
  <c r="I146" i="95" s="1"/>
  <c r="K144" i="95"/>
  <c r="K146" i="95" s="1"/>
  <c r="L144" i="95"/>
  <c r="L146" i="95" s="1"/>
  <c r="N144" i="95"/>
  <c r="N146" i="95" s="1"/>
  <c r="O144" i="95"/>
  <c r="O146" i="95" s="1"/>
  <c r="D145" i="95"/>
  <c r="G145" i="95"/>
  <c r="M145" i="95"/>
  <c r="D149" i="95"/>
  <c r="G149" i="95"/>
  <c r="J149" i="95"/>
  <c r="M149" i="95"/>
  <c r="D150" i="95"/>
  <c r="G150" i="95"/>
  <c r="J150" i="95"/>
  <c r="M150" i="95"/>
  <c r="D151" i="95"/>
  <c r="G151" i="95"/>
  <c r="J151" i="95"/>
  <c r="M151" i="95"/>
  <c r="E152" i="95"/>
  <c r="E153" i="95" s="1"/>
  <c r="G152" i="95"/>
  <c r="K152" i="95"/>
  <c r="J152" i="95" s="1"/>
  <c r="N152" i="95"/>
  <c r="M152" i="95" s="1"/>
  <c r="H153" i="95"/>
  <c r="H166" i="95" s="1"/>
  <c r="I153" i="95"/>
  <c r="I166" i="95" s="1"/>
  <c r="L153" i="95"/>
  <c r="L166" i="95" s="1"/>
  <c r="K154" i="95"/>
  <c r="J154" i="95" s="1"/>
  <c r="C154" i="95" s="1"/>
  <c r="D155" i="95"/>
  <c r="G155" i="95"/>
  <c r="N155" i="95"/>
  <c r="M155" i="95" s="1"/>
  <c r="D156" i="95"/>
  <c r="G156" i="95"/>
  <c r="D157" i="95"/>
  <c r="G157" i="95"/>
  <c r="D158" i="95"/>
  <c r="G158" i="95"/>
  <c r="D159" i="95"/>
  <c r="G159" i="95"/>
  <c r="N159" i="95"/>
  <c r="M159" i="95" s="1"/>
  <c r="D160" i="95"/>
  <c r="G160" i="95"/>
  <c r="D161" i="95"/>
  <c r="G161" i="95"/>
  <c r="D162" i="95"/>
  <c r="G162" i="95"/>
  <c r="D163" i="95"/>
  <c r="G163" i="95"/>
  <c r="D164" i="95"/>
  <c r="G164" i="95"/>
  <c r="M164" i="95"/>
  <c r="J165" i="95"/>
  <c r="C165" i="95" s="1"/>
  <c r="F166" i="95"/>
  <c r="D168" i="95"/>
  <c r="H168" i="95"/>
  <c r="G168" i="95" s="1"/>
  <c r="D169" i="95"/>
  <c r="H169" i="95"/>
  <c r="E170" i="95"/>
  <c r="F170" i="95"/>
  <c r="I170" i="95"/>
  <c r="K170" i="95"/>
  <c r="J170" i="95" s="1"/>
  <c r="M170" i="95"/>
  <c r="D179" i="95"/>
  <c r="E179" i="95"/>
  <c r="F179" i="95"/>
  <c r="O52" i="80"/>
  <c r="K13" i="81"/>
  <c r="L13" i="81" s="1"/>
  <c r="M13" i="81" s="1"/>
  <c r="N13" i="81" s="1"/>
  <c r="K14" i="81"/>
  <c r="L14" i="81" s="1"/>
  <c r="M14" i="81" s="1"/>
  <c r="N14" i="81" s="1"/>
  <c r="E22" i="81"/>
  <c r="F22" i="81"/>
  <c r="X90" i="97"/>
  <c r="X91" i="97"/>
  <c r="X92" i="97"/>
  <c r="D12" i="82"/>
  <c r="C18" i="82"/>
  <c r="B7" i="72"/>
  <c r="Q6" i="92"/>
  <c r="Q18" i="92" s="1"/>
  <c r="Q20" i="92" s="1"/>
  <c r="O7" i="92"/>
  <c r="O8" i="92"/>
  <c r="O9" i="92"/>
  <c r="O10" i="92"/>
  <c r="O11" i="92"/>
  <c r="S11" i="92"/>
  <c r="W11" i="92" s="1"/>
  <c r="O12" i="92"/>
  <c r="O13" i="92"/>
  <c r="X15" i="92"/>
  <c r="O16" i="92"/>
  <c r="Q17" i="92"/>
  <c r="T17" i="92"/>
  <c r="T15" i="92" s="1"/>
  <c r="T18" i="92"/>
  <c r="H18" i="92"/>
  <c r="I18" i="92"/>
  <c r="J18" i="92"/>
  <c r="K18" i="92"/>
  <c r="L18" i="92"/>
  <c r="M18" i="92"/>
  <c r="N18" i="92"/>
  <c r="AJ26" i="92"/>
  <c r="AF27" i="92"/>
  <c r="AH28" i="92" s="1"/>
  <c r="AH30" i="92" s="1"/>
  <c r="AJ27" i="92"/>
  <c r="P7" i="92"/>
  <c r="Z18" i="97"/>
  <c r="W13" i="92"/>
  <c r="G53" i="95"/>
  <c r="E6" i="108"/>
  <c r="E9" i="108" s="1"/>
  <c r="H62" i="72"/>
  <c r="C62" i="72" s="1"/>
  <c r="E49" i="72"/>
  <c r="G29" i="95"/>
  <c r="N66" i="95"/>
  <c r="N68" i="95" s="1"/>
  <c r="M68" i="95" s="1"/>
  <c r="AJ30" i="101"/>
  <c r="C87" i="72" l="1"/>
  <c r="C90" i="97"/>
  <c r="C88" i="97"/>
  <c r="C71" i="72"/>
  <c r="W71" i="72" s="1"/>
  <c r="C91" i="97"/>
  <c r="W91" i="97" s="1"/>
  <c r="C40" i="97"/>
  <c r="W40" i="97" s="1"/>
  <c r="C65" i="72"/>
  <c r="W65" i="72" s="1"/>
  <c r="F18" i="118"/>
  <c r="C66" i="72"/>
  <c r="C10" i="97"/>
  <c r="I27" i="82"/>
  <c r="E27" i="82" s="1"/>
  <c r="J93" i="97"/>
  <c r="H16" i="106" s="1"/>
  <c r="E16" i="106" s="1"/>
  <c r="J95" i="97"/>
  <c r="I10" i="82"/>
  <c r="M93" i="72"/>
  <c r="R7" i="101"/>
  <c r="H99" i="97"/>
  <c r="H100" i="97" s="1"/>
  <c r="E99" i="97"/>
  <c r="E100" i="97" s="1"/>
  <c r="G5" i="118"/>
  <c r="G90" i="72"/>
  <c r="E5" i="118" s="1"/>
  <c r="J90" i="72"/>
  <c r="W20" i="97"/>
  <c r="R10" i="92"/>
  <c r="W12" i="97"/>
  <c r="W87" i="72"/>
  <c r="E18" i="118"/>
  <c r="I17" i="82"/>
  <c r="E17" i="82" s="1"/>
  <c r="K42" i="81"/>
  <c r="W90" i="97"/>
  <c r="G27" i="82"/>
  <c r="W66" i="72"/>
  <c r="I13" i="82"/>
  <c r="H13" i="82"/>
  <c r="AC11" i="97"/>
  <c r="AC10" i="97"/>
  <c r="AC90" i="97"/>
  <c r="AC12" i="97"/>
  <c r="AC20" i="97"/>
  <c r="K21" i="99"/>
  <c r="D61" i="95"/>
  <c r="C61" i="95" s="1"/>
  <c r="W36" i="97"/>
  <c r="AC36" i="97"/>
  <c r="AC91" i="97"/>
  <c r="AC40" i="97"/>
  <c r="AC88" i="97"/>
  <c r="W68" i="72"/>
  <c r="W9" i="72"/>
  <c r="H18" i="106"/>
  <c r="C108" i="95"/>
  <c r="M18" i="95"/>
  <c r="C18" i="95" s="1"/>
  <c r="C87" i="95"/>
  <c r="W38" i="97"/>
  <c r="W24" i="72"/>
  <c r="W25" i="72"/>
  <c r="Z94" i="97"/>
  <c r="K48" i="100" s="1"/>
  <c r="Y94" i="97"/>
  <c r="E57" i="80"/>
  <c r="E11" i="118"/>
  <c r="G11" i="118"/>
  <c r="F11" i="118"/>
  <c r="I31" i="109"/>
  <c r="I19" i="82"/>
  <c r="E92" i="97"/>
  <c r="V35" i="101"/>
  <c r="W35" i="101" s="1"/>
  <c r="W11" i="101"/>
  <c r="R11" i="101" s="1"/>
  <c r="AA15" i="101"/>
  <c r="W15" i="92"/>
  <c r="K153" i="95"/>
  <c r="K166" i="95" s="1"/>
  <c r="J166" i="95" s="1"/>
  <c r="H130" i="95"/>
  <c r="G130" i="95" s="1"/>
  <c r="P13" i="101"/>
  <c r="H26" i="82"/>
  <c r="D11" i="118"/>
  <c r="K92" i="97"/>
  <c r="H18" i="82"/>
  <c r="M5" i="80"/>
  <c r="C109" i="95"/>
  <c r="C28" i="95"/>
  <c r="C29" i="95" s="1"/>
  <c r="R9" i="101"/>
  <c r="E24" i="117"/>
  <c r="E25" i="117" s="1"/>
  <c r="K40" i="81"/>
  <c r="J20" i="111" s="1"/>
  <c r="G21" i="118"/>
  <c r="H20" i="111"/>
  <c r="E21" i="118"/>
  <c r="E16" i="118"/>
  <c r="G16" i="118"/>
  <c r="I20" i="111"/>
  <c r="F21" i="118"/>
  <c r="C21" i="118" s="1"/>
  <c r="L25" i="102"/>
  <c r="H24" i="117"/>
  <c r="H25" i="117" s="1"/>
  <c r="M7" i="80"/>
  <c r="V34" i="92"/>
  <c r="W34" i="92" s="1"/>
  <c r="J20" i="95"/>
  <c r="G153" i="95"/>
  <c r="F147" i="95"/>
  <c r="F175" i="95" s="1"/>
  <c r="J24" i="99"/>
  <c r="J35" i="99" s="1"/>
  <c r="G24" i="117"/>
  <c r="G25" i="117" s="1"/>
  <c r="I26" i="82"/>
  <c r="I24" i="117"/>
  <c r="I25" i="117" s="1"/>
  <c r="C164" i="95"/>
  <c r="C162" i="95"/>
  <c r="C160" i="95"/>
  <c r="C134" i="95"/>
  <c r="C97" i="95"/>
  <c r="C48" i="95"/>
  <c r="M20" i="95"/>
  <c r="J29" i="109"/>
  <c r="P29" i="109"/>
  <c r="I95" i="97"/>
  <c r="F9" i="118" s="1"/>
  <c r="M29" i="109"/>
  <c r="F95" i="97"/>
  <c r="E9" i="118" s="1"/>
  <c r="G179" i="95"/>
  <c r="C145" i="95"/>
  <c r="C138" i="95"/>
  <c r="C120" i="95"/>
  <c r="C115" i="95"/>
  <c r="C104" i="95"/>
  <c r="C93" i="95"/>
  <c r="C55" i="95"/>
  <c r="C50" i="95"/>
  <c r="C47" i="95"/>
  <c r="C42" i="95"/>
  <c r="D174" i="95"/>
  <c r="C174" i="95" s="1"/>
  <c r="C21" i="95"/>
  <c r="G10" i="109"/>
  <c r="F94" i="97"/>
  <c r="G17" i="106" s="1"/>
  <c r="L31" i="109"/>
  <c r="R12" i="92"/>
  <c r="K35" i="99"/>
  <c r="J7" i="99"/>
  <c r="J21" i="99" s="1"/>
  <c r="O6" i="92"/>
  <c r="AE20" i="92" s="1"/>
  <c r="G34" i="99"/>
  <c r="R9" i="92"/>
  <c r="N153" i="95"/>
  <c r="M153" i="95" s="1"/>
  <c r="P12" i="101"/>
  <c r="C163" i="95"/>
  <c r="P15" i="92"/>
  <c r="C103" i="95"/>
  <c r="N130" i="95"/>
  <c r="M130" i="95" s="1"/>
  <c r="K66" i="95"/>
  <c r="K68" i="95" s="1"/>
  <c r="J68" i="95" s="1"/>
  <c r="R13" i="92"/>
  <c r="P13" i="92"/>
  <c r="Q18" i="101"/>
  <c r="O18" i="101" s="1"/>
  <c r="W15" i="101"/>
  <c r="H144" i="95"/>
  <c r="G144" i="95" s="1"/>
  <c r="I147" i="95"/>
  <c r="I175" i="95" s="1"/>
  <c r="C127" i="95"/>
  <c r="C99" i="95"/>
  <c r="C32" i="95"/>
  <c r="G20" i="99"/>
  <c r="G21" i="99"/>
  <c r="O42" i="80"/>
  <c r="C9" i="112"/>
  <c r="C9" i="111"/>
  <c r="AK26" i="92"/>
  <c r="AK28" i="92" s="1"/>
  <c r="X88" i="97"/>
  <c r="Y95" i="97"/>
  <c r="H9" i="112"/>
  <c r="H9" i="111"/>
  <c r="G9" i="112"/>
  <c r="G9" i="111"/>
  <c r="F9" i="112"/>
  <c r="F9" i="111"/>
  <c r="E9" i="111"/>
  <c r="E9" i="112"/>
  <c r="I9" i="112"/>
  <c r="I9" i="111"/>
  <c r="D8" i="112"/>
  <c r="D8" i="111"/>
  <c r="C8" i="112"/>
  <c r="C8" i="111"/>
  <c r="C18" i="111"/>
  <c r="C19" i="112"/>
  <c r="C142" i="95"/>
  <c r="C106" i="95"/>
  <c r="C70" i="95"/>
  <c r="C49" i="95"/>
  <c r="P37" i="99"/>
  <c r="P12" i="92"/>
  <c r="X18" i="101"/>
  <c r="U33" i="101" s="1"/>
  <c r="O18" i="92"/>
  <c r="C155" i="95"/>
  <c r="C149" i="95"/>
  <c r="C143" i="95"/>
  <c r="C139" i="95"/>
  <c r="C65" i="95"/>
  <c r="C56" i="95"/>
  <c r="C52" i="95"/>
  <c r="C46" i="95"/>
  <c r="Q37" i="99"/>
  <c r="X18" i="92"/>
  <c r="R13" i="101"/>
  <c r="C53" i="95"/>
  <c r="M66" i="95"/>
  <c r="G42" i="102"/>
  <c r="H41" i="102" s="1"/>
  <c r="G41" i="102"/>
  <c r="K25" i="102"/>
  <c r="G26" i="82"/>
  <c r="D66" i="95"/>
  <c r="E68" i="95"/>
  <c r="D68" i="95" s="1"/>
  <c r="O17" i="92"/>
  <c r="Q15" i="92"/>
  <c r="O15" i="92" s="1"/>
  <c r="V35" i="92"/>
  <c r="W35" i="92" s="1"/>
  <c r="AJ30" i="92"/>
  <c r="Y18" i="92"/>
  <c r="AA15" i="92"/>
  <c r="L94" i="97"/>
  <c r="K18" i="97"/>
  <c r="H170" i="95"/>
  <c r="G170" i="95" s="1"/>
  <c r="G169" i="95"/>
  <c r="C169" i="95" s="1"/>
  <c r="D94" i="95"/>
  <c r="C94" i="95" s="1"/>
  <c r="E130" i="95"/>
  <c r="D130" i="95" s="1"/>
  <c r="J86" i="95"/>
  <c r="C86" i="95" s="1"/>
  <c r="K130" i="95"/>
  <c r="J130" i="95" s="1"/>
  <c r="G36" i="95"/>
  <c r="C36" i="95" s="1"/>
  <c r="H66" i="95"/>
  <c r="J34" i="99"/>
  <c r="C140" i="95"/>
  <c r="I37" i="99"/>
  <c r="L147" i="95"/>
  <c r="L175" i="95" s="1"/>
  <c r="S18" i="101"/>
  <c r="W18" i="101" s="1"/>
  <c r="V34" i="101"/>
  <c r="W34" i="101" s="1"/>
  <c r="D29" i="95"/>
  <c r="C126" i="95"/>
  <c r="C125" i="95"/>
  <c r="R8" i="92"/>
  <c r="R11" i="92"/>
  <c r="J146" i="95"/>
  <c r="M144" i="95"/>
  <c r="O17" i="101"/>
  <c r="L37" i="99"/>
  <c r="D21" i="99"/>
  <c r="C119" i="95"/>
  <c r="C116" i="95"/>
  <c r="C112" i="95"/>
  <c r="C100" i="95"/>
  <c r="R6" i="92"/>
  <c r="R14" i="92"/>
  <c r="R16" i="92"/>
  <c r="C168" i="95"/>
  <c r="D15" i="95"/>
  <c r="C15" i="95" s="1"/>
  <c r="C172" i="95" s="1"/>
  <c r="G94" i="97"/>
  <c r="H78" i="97"/>
  <c r="M95" i="97"/>
  <c r="K37" i="99"/>
  <c r="K18" i="81"/>
  <c r="L18" i="81" s="1"/>
  <c r="M18" i="81" s="1"/>
  <c r="N18" i="81" s="1"/>
  <c r="C62" i="95"/>
  <c r="AE20" i="101"/>
  <c r="O20" i="101"/>
  <c r="C157" i="95"/>
  <c r="C118" i="95"/>
  <c r="C111" i="95"/>
  <c r="C60" i="95"/>
  <c r="H37" i="99"/>
  <c r="D34" i="99"/>
  <c r="R6" i="101"/>
  <c r="R10" i="101"/>
  <c r="C114" i="95"/>
  <c r="C64" i="95"/>
  <c r="C59" i="95"/>
  <c r="C57" i="95"/>
  <c r="C159" i="95"/>
  <c r="C158" i="95"/>
  <c r="C113" i="95"/>
  <c r="C105" i="95"/>
  <c r="D35" i="99"/>
  <c r="P15" i="101"/>
  <c r="K85" i="72"/>
  <c r="G13" i="82"/>
  <c r="H19" i="82"/>
  <c r="E19" i="82" s="1"/>
  <c r="H94" i="97"/>
  <c r="H92" i="97"/>
  <c r="E78" i="97"/>
  <c r="Z95" i="97"/>
  <c r="G35" i="99"/>
  <c r="P11" i="92"/>
  <c r="R12" i="101"/>
  <c r="C137" i="95"/>
  <c r="C133" i="95"/>
  <c r="C101" i="95"/>
  <c r="C95" i="95"/>
  <c r="H38" i="99"/>
  <c r="L38" i="99"/>
  <c r="S18" i="92"/>
  <c r="W18" i="92" s="1"/>
  <c r="C135" i="95"/>
  <c r="E37" i="99"/>
  <c r="C33" i="95"/>
  <c r="O15" i="101"/>
  <c r="D170" i="95"/>
  <c r="C161" i="95"/>
  <c r="C156" i="95"/>
  <c r="G166" i="95"/>
  <c r="C150" i="95"/>
  <c r="J144" i="95"/>
  <c r="E144" i="95"/>
  <c r="D144" i="95" s="1"/>
  <c r="C124" i="95"/>
  <c r="C123" i="95"/>
  <c r="C121" i="95"/>
  <c r="C107" i="95"/>
  <c r="C102" i="95"/>
  <c r="C98" i="95"/>
  <c r="C96" i="95"/>
  <c r="C91" i="95"/>
  <c r="C63" i="95"/>
  <c r="C51" i="95"/>
  <c r="C45" i="95"/>
  <c r="C43" i="95"/>
  <c r="J25" i="95"/>
  <c r="J173" i="95" s="1"/>
  <c r="O25" i="95"/>
  <c r="O173" i="95" s="1"/>
  <c r="H18" i="97"/>
  <c r="C151" i="95"/>
  <c r="C141" i="95"/>
  <c r="C129" i="95"/>
  <c r="C110" i="95"/>
  <c r="C54" i="95"/>
  <c r="C44" i="95"/>
  <c r="C35" i="95"/>
  <c r="C27" i="95"/>
  <c r="M24" i="95"/>
  <c r="C24" i="95" s="1"/>
  <c r="C23" i="95"/>
  <c r="C22" i="95"/>
  <c r="C19" i="95"/>
  <c r="N25" i="95"/>
  <c r="N173" i="95" s="1"/>
  <c r="F37" i="99"/>
  <c r="D20" i="99"/>
  <c r="J20" i="99"/>
  <c r="F38" i="99"/>
  <c r="R14" i="101"/>
  <c r="R16" i="101"/>
  <c r="AK26" i="101"/>
  <c r="AK28" i="101" s="1"/>
  <c r="K49" i="72"/>
  <c r="C49" i="72" s="1"/>
  <c r="G95" i="97"/>
  <c r="I93" i="97"/>
  <c r="H15" i="106" s="1"/>
  <c r="H61" i="97"/>
  <c r="E166" i="95"/>
  <c r="D166" i="95" s="1"/>
  <c r="D153" i="95"/>
  <c r="O147" i="95"/>
  <c r="M146" i="95"/>
  <c r="X93" i="97"/>
  <c r="X61" i="97"/>
  <c r="F93" i="97"/>
  <c r="G15" i="106" s="1"/>
  <c r="E61" i="97"/>
  <c r="C136" i="95"/>
  <c r="C31" i="95"/>
  <c r="F171" i="95"/>
  <c r="N13" i="77"/>
  <c r="K31" i="81" s="1"/>
  <c r="C132" i="95"/>
  <c r="D152" i="95"/>
  <c r="C152" i="95" s="1"/>
  <c r="C18" i="97" l="1"/>
  <c r="K38" i="99"/>
  <c r="D96" i="72"/>
  <c r="D98" i="72" s="1"/>
  <c r="V10" i="109"/>
  <c r="C92" i="97"/>
  <c r="W92" i="97" s="1"/>
  <c r="E13" i="82"/>
  <c r="L104" i="97"/>
  <c r="H20" i="106"/>
  <c r="H21" i="106" s="1"/>
  <c r="C16" i="118"/>
  <c r="C11" i="118"/>
  <c r="W18" i="97"/>
  <c r="L103" i="97"/>
  <c r="K26" i="118"/>
  <c r="F5" i="118"/>
  <c r="C5" i="118" s="1"/>
  <c r="K25" i="118"/>
  <c r="I30" i="82"/>
  <c r="S14" i="109"/>
  <c r="O45" i="80"/>
  <c r="O20" i="92"/>
  <c r="J37" i="99"/>
  <c r="J153" i="95"/>
  <c r="R15" i="101"/>
  <c r="E103" i="97"/>
  <c r="M25" i="106"/>
  <c r="W10" i="97"/>
  <c r="D10" i="97" s="1"/>
  <c r="J48" i="100"/>
  <c r="J15" i="100"/>
  <c r="M24" i="106"/>
  <c r="I15" i="100"/>
  <c r="L64" i="102"/>
  <c r="K63" i="102"/>
  <c r="C20" i="95"/>
  <c r="C25" i="95" s="1"/>
  <c r="AC18" i="97"/>
  <c r="G10" i="82"/>
  <c r="G9" i="106"/>
  <c r="H10" i="82"/>
  <c r="H9" i="106"/>
  <c r="F13" i="106"/>
  <c r="H19" i="106"/>
  <c r="E8" i="118"/>
  <c r="E20" i="118" s="1"/>
  <c r="F8" i="118"/>
  <c r="AC92" i="97"/>
  <c r="N166" i="95"/>
  <c r="M166" i="95" s="1"/>
  <c r="G37" i="99"/>
  <c r="Q20" i="101"/>
  <c r="X94" i="97"/>
  <c r="G5" i="111"/>
  <c r="P25" i="109"/>
  <c r="P31" i="109" s="1"/>
  <c r="S21" i="109"/>
  <c r="W11" i="97"/>
  <c r="D11" i="97" s="1"/>
  <c r="Z10" i="77"/>
  <c r="X21" i="109"/>
  <c r="G29" i="109"/>
  <c r="X31" i="109"/>
  <c r="G19" i="82"/>
  <c r="D48" i="100"/>
  <c r="F57" i="80"/>
  <c r="F8" i="111"/>
  <c r="F5" i="111"/>
  <c r="U33" i="92"/>
  <c r="P18" i="101"/>
  <c r="AE11" i="97"/>
  <c r="G38" i="99"/>
  <c r="R15" i="92"/>
  <c r="F16" i="117"/>
  <c r="O37" i="99"/>
  <c r="C144" i="95"/>
  <c r="I171" i="95"/>
  <c r="AD11" i="97"/>
  <c r="H146" i="95"/>
  <c r="G146" i="95" s="1"/>
  <c r="I21" i="112"/>
  <c r="I37" i="81"/>
  <c r="H21" i="112"/>
  <c r="F5" i="112"/>
  <c r="G18" i="82"/>
  <c r="G20" i="106"/>
  <c r="G5" i="112"/>
  <c r="H20" i="82"/>
  <c r="E5" i="112"/>
  <c r="E31" i="117"/>
  <c r="E32" i="117" s="1"/>
  <c r="I25" i="82"/>
  <c r="I24" i="82" s="1"/>
  <c r="G17" i="118"/>
  <c r="I18" i="106"/>
  <c r="I24" i="106" s="1"/>
  <c r="G8" i="118"/>
  <c r="G20" i="118" s="1"/>
  <c r="U32" i="92"/>
  <c r="F56" i="102"/>
  <c r="L171" i="95"/>
  <c r="J66" i="95"/>
  <c r="E5" i="111"/>
  <c r="C130" i="95"/>
  <c r="C166" i="95"/>
  <c r="N147" i="95"/>
  <c r="N171" i="95" s="1"/>
  <c r="F20" i="106"/>
  <c r="G16" i="117"/>
  <c r="M21" i="109"/>
  <c r="M31" i="109" s="1"/>
  <c r="N31" i="109"/>
  <c r="L33" i="109"/>
  <c r="J21" i="109"/>
  <c r="J31" i="109" s="1"/>
  <c r="K31" i="109"/>
  <c r="G21" i="109"/>
  <c r="F8" i="112"/>
  <c r="AA18" i="92"/>
  <c r="R18" i="92" s="1"/>
  <c r="J21" i="112"/>
  <c r="C153" i="95"/>
  <c r="K94" i="97"/>
  <c r="C94" i="97" s="1"/>
  <c r="I18" i="82"/>
  <c r="I20" i="82" s="1"/>
  <c r="I23" i="82" s="1"/>
  <c r="I17" i="106"/>
  <c r="E17" i="106" s="1"/>
  <c r="J19" i="106"/>
  <c r="B9" i="111"/>
  <c r="B9" i="112"/>
  <c r="C5" i="112"/>
  <c r="C5" i="111"/>
  <c r="D5" i="112"/>
  <c r="D5" i="111"/>
  <c r="E8" i="112"/>
  <c r="E8" i="111"/>
  <c r="H8" i="112"/>
  <c r="H8" i="111"/>
  <c r="G8" i="112"/>
  <c r="G8" i="111"/>
  <c r="J8" i="112"/>
  <c r="J8" i="111"/>
  <c r="I8" i="112"/>
  <c r="I8" i="111"/>
  <c r="J12" i="112"/>
  <c r="J15" i="112" s="1"/>
  <c r="J12" i="111"/>
  <c r="F12" i="112"/>
  <c r="F15" i="112" s="1"/>
  <c r="F12" i="111"/>
  <c r="F11" i="111"/>
  <c r="F11" i="112"/>
  <c r="V33" i="101"/>
  <c r="W33" i="101" s="1"/>
  <c r="AJ29" i="101"/>
  <c r="D37" i="99"/>
  <c r="M173" i="95"/>
  <c r="C173" i="95" s="1"/>
  <c r="C170" i="95"/>
  <c r="AA18" i="101"/>
  <c r="R18" i="101" s="1"/>
  <c r="D38" i="99"/>
  <c r="V33" i="92"/>
  <c r="AJ29" i="92"/>
  <c r="M25" i="95"/>
  <c r="E146" i="95"/>
  <c r="E147" i="95" s="1"/>
  <c r="O175" i="95"/>
  <c r="H42" i="102"/>
  <c r="AJ28" i="101"/>
  <c r="V32" i="101"/>
  <c r="U32" i="101"/>
  <c r="U36" i="101" s="1"/>
  <c r="K147" i="95"/>
  <c r="H68" i="95"/>
  <c r="G68" i="95" s="1"/>
  <c r="C68" i="95" s="1"/>
  <c r="G66" i="95"/>
  <c r="Y11" i="82"/>
  <c r="N34" i="77"/>
  <c r="F12" i="106"/>
  <c r="X95" i="97"/>
  <c r="E94" i="97"/>
  <c r="G18" i="106"/>
  <c r="K78" i="97"/>
  <c r="C78" i="97" s="1"/>
  <c r="H95" i="97"/>
  <c r="E95" i="97"/>
  <c r="AJ28" i="92"/>
  <c r="P18" i="92"/>
  <c r="V32" i="92"/>
  <c r="J38" i="99"/>
  <c r="H93" i="97"/>
  <c r="H16" i="82"/>
  <c r="K13" i="77"/>
  <c r="C13" i="77" s="1"/>
  <c r="E93" i="97"/>
  <c r="G16" i="82"/>
  <c r="J45" i="99" l="1"/>
  <c r="H147" i="95"/>
  <c r="G147" i="95" s="1"/>
  <c r="G171" i="95" s="1"/>
  <c r="C66" i="95"/>
  <c r="E18" i="106"/>
  <c r="H22" i="106"/>
  <c r="H24" i="106"/>
  <c r="E24" i="106" s="1"/>
  <c r="E9" i="106"/>
  <c r="F15" i="100"/>
  <c r="E18" i="82"/>
  <c r="C8" i="118"/>
  <c r="H23" i="82"/>
  <c r="E20" i="82"/>
  <c r="H30" i="82"/>
  <c r="E30" i="82" s="1"/>
  <c r="E10" i="82"/>
  <c r="W94" i="97"/>
  <c r="L19" i="102"/>
  <c r="L11" i="102" s="1"/>
  <c r="K28" i="118"/>
  <c r="F20" i="118"/>
  <c r="C20" i="118" s="1"/>
  <c r="J31" i="81"/>
  <c r="G30" i="82"/>
  <c r="U36" i="92"/>
  <c r="V38" i="92" s="1"/>
  <c r="W33" i="92"/>
  <c r="K18" i="102"/>
  <c r="K11" i="102" s="1"/>
  <c r="G21" i="106"/>
  <c r="M26" i="106"/>
  <c r="F7" i="118"/>
  <c r="I25" i="100"/>
  <c r="I6" i="100"/>
  <c r="H35" i="82"/>
  <c r="G24" i="106"/>
  <c r="G35" i="82"/>
  <c r="F10" i="118"/>
  <c r="I7" i="100"/>
  <c r="H36" i="82"/>
  <c r="J7" i="100"/>
  <c r="I36" i="82"/>
  <c r="I48" i="100"/>
  <c r="F48" i="100" s="1"/>
  <c r="N48" i="100" s="1"/>
  <c r="W78" i="97"/>
  <c r="M37" i="102"/>
  <c r="F14" i="82"/>
  <c r="F20" i="82"/>
  <c r="F24" i="106"/>
  <c r="E7" i="118"/>
  <c r="F30" i="82"/>
  <c r="F14" i="106"/>
  <c r="F23" i="106"/>
  <c r="W11" i="82"/>
  <c r="G45" i="99"/>
  <c r="AC78" i="97"/>
  <c r="AC94" i="97"/>
  <c r="D45" i="99"/>
  <c r="U30" i="101"/>
  <c r="F19" i="106"/>
  <c r="I10" i="102"/>
  <c r="Q31" i="109"/>
  <c r="J23" i="82"/>
  <c r="W21" i="109"/>
  <c r="G20" i="82"/>
  <c r="V21" i="109"/>
  <c r="W29" i="109"/>
  <c r="I33" i="109"/>
  <c r="X33" i="109"/>
  <c r="AF11" i="97"/>
  <c r="AF13" i="97" s="1"/>
  <c r="AJ31" i="101"/>
  <c r="AJ31" i="92"/>
  <c r="N175" i="95"/>
  <c r="G21" i="82"/>
  <c r="S29" i="109"/>
  <c r="V29" i="109" s="1"/>
  <c r="O43" i="80"/>
  <c r="J42" i="81"/>
  <c r="F21" i="82"/>
  <c r="AE20" i="97"/>
  <c r="H13" i="117"/>
  <c r="I4" i="112"/>
  <c r="I6" i="112" s="1"/>
  <c r="I4" i="111"/>
  <c r="I6" i="111" s="1"/>
  <c r="F17" i="118"/>
  <c r="C17" i="118" s="1"/>
  <c r="G10" i="118"/>
  <c r="V36" i="92"/>
  <c r="V36" i="101"/>
  <c r="H25" i="82"/>
  <c r="H31" i="117"/>
  <c r="H32" i="117" s="1"/>
  <c r="F31" i="117"/>
  <c r="F32" i="117" s="1"/>
  <c r="I13" i="117"/>
  <c r="I14" i="117" s="1"/>
  <c r="H16" i="117"/>
  <c r="M147" i="95"/>
  <c r="H21" i="82"/>
  <c r="I19" i="106"/>
  <c r="I22" i="106" s="1"/>
  <c r="F21" i="106"/>
  <c r="F13" i="82"/>
  <c r="G55" i="102"/>
  <c r="G56" i="102"/>
  <c r="H55" i="102" s="1"/>
  <c r="J12" i="106"/>
  <c r="E12" i="106" s="1"/>
  <c r="B5" i="112"/>
  <c r="B5" i="111"/>
  <c r="B8" i="112"/>
  <c r="B8" i="111"/>
  <c r="G7" i="112"/>
  <c r="G10" i="112" s="1"/>
  <c r="G7" i="111"/>
  <c r="G10" i="111" s="1"/>
  <c r="I7" i="111"/>
  <c r="I10" i="111" s="1"/>
  <c r="I7" i="112"/>
  <c r="I10" i="112" s="1"/>
  <c r="H7" i="111"/>
  <c r="H10" i="111" s="1"/>
  <c r="H7" i="112"/>
  <c r="H10" i="112" s="1"/>
  <c r="F4" i="112"/>
  <c r="F6" i="112" s="1"/>
  <c r="F4" i="111"/>
  <c r="F6" i="111" s="1"/>
  <c r="J4" i="112"/>
  <c r="J6" i="112" s="1"/>
  <c r="J4" i="111"/>
  <c r="J6" i="111" s="1"/>
  <c r="G4" i="112"/>
  <c r="G6" i="112" s="1"/>
  <c r="G4" i="111"/>
  <c r="G6" i="111" s="1"/>
  <c r="D4" i="112"/>
  <c r="D6" i="112" s="1"/>
  <c r="D4" i="111"/>
  <c r="D6" i="111" s="1"/>
  <c r="E4" i="112"/>
  <c r="E6" i="112" s="1"/>
  <c r="E4" i="111"/>
  <c r="E6" i="111" s="1"/>
  <c r="C11" i="111"/>
  <c r="C11" i="112"/>
  <c r="I11" i="112"/>
  <c r="I11" i="111"/>
  <c r="E12" i="111"/>
  <c r="E12" i="112"/>
  <c r="E15" i="112" s="1"/>
  <c r="G12" i="111"/>
  <c r="G12" i="112"/>
  <c r="G15" i="112" s="1"/>
  <c r="F13" i="112"/>
  <c r="I12" i="111"/>
  <c r="I12" i="112"/>
  <c r="I15" i="112" s="1"/>
  <c r="J11" i="111"/>
  <c r="J11" i="112"/>
  <c r="C12" i="112"/>
  <c r="C12" i="111"/>
  <c r="F13" i="111"/>
  <c r="D11" i="112"/>
  <c r="D11" i="111"/>
  <c r="W32" i="101"/>
  <c r="W36" i="101" s="1"/>
  <c r="I41" i="102"/>
  <c r="I42" i="102"/>
  <c r="U30" i="92"/>
  <c r="D146" i="95"/>
  <c r="C146" i="95" s="1"/>
  <c r="J147" i="95"/>
  <c r="K175" i="95"/>
  <c r="J175" i="95" s="1"/>
  <c r="E178" i="95" s="1"/>
  <c r="E181" i="95" s="1"/>
  <c r="W32" i="92"/>
  <c r="W36" i="92" s="1"/>
  <c r="K171" i="95"/>
  <c r="J171" i="95" s="1"/>
  <c r="H57" i="80"/>
  <c r="G19" i="106"/>
  <c r="G22" i="106" s="1"/>
  <c r="F28" i="102"/>
  <c r="H171" i="95"/>
  <c r="H175" i="95"/>
  <c r="G175" i="95" s="1"/>
  <c r="D178" i="95" s="1"/>
  <c r="H10" i="102"/>
  <c r="E171" i="95"/>
  <c r="D147" i="95"/>
  <c r="E175" i="95"/>
  <c r="I24" i="102"/>
  <c r="J24" i="102"/>
  <c r="H24" i="102"/>
  <c r="E19" i="106" l="1"/>
  <c r="H24" i="82"/>
  <c r="E25" i="82"/>
  <c r="E23" i="82"/>
  <c r="H22" i="82"/>
  <c r="D9" i="118"/>
  <c r="G28" i="102"/>
  <c r="H28" i="102" s="1"/>
  <c r="I28" i="102" s="1"/>
  <c r="J28" i="102" s="1"/>
  <c r="K27" i="102" s="1"/>
  <c r="G23" i="82"/>
  <c r="G22" i="82"/>
  <c r="F22" i="82"/>
  <c r="F22" i="106"/>
  <c r="J22" i="106"/>
  <c r="E22" i="106" s="1"/>
  <c r="D95" i="97"/>
  <c r="W49" i="72"/>
  <c r="F23" i="82"/>
  <c r="F19" i="117"/>
  <c r="F20" i="117" s="1"/>
  <c r="C7" i="111"/>
  <c r="G13" i="117"/>
  <c r="G14" i="117" s="1"/>
  <c r="S25" i="109"/>
  <c r="V25" i="109" s="1"/>
  <c r="W25" i="109"/>
  <c r="H14" i="117"/>
  <c r="E16" i="117"/>
  <c r="F13" i="117"/>
  <c r="D19" i="117"/>
  <c r="D20" i="117" s="1"/>
  <c r="D16" i="117"/>
  <c r="E13" i="117"/>
  <c r="M171" i="95"/>
  <c r="M175" i="95"/>
  <c r="F178" i="95" s="1"/>
  <c r="F181" i="95" s="1"/>
  <c r="E21" i="111"/>
  <c r="G21" i="111"/>
  <c r="G22" i="112"/>
  <c r="H22" i="112"/>
  <c r="H21" i="111"/>
  <c r="J37" i="81"/>
  <c r="I21" i="111"/>
  <c r="I22" i="112"/>
  <c r="C22" i="112"/>
  <c r="C21" i="111"/>
  <c r="J13" i="112"/>
  <c r="I13" i="112"/>
  <c r="I14" i="112"/>
  <c r="C13" i="112"/>
  <c r="C15" i="112"/>
  <c r="J13" i="111"/>
  <c r="I13" i="111"/>
  <c r="I14" i="111"/>
  <c r="C13" i="111"/>
  <c r="D13" i="111"/>
  <c r="D13" i="112"/>
  <c r="D181" i="95"/>
  <c r="J42" i="102"/>
  <c r="J41" i="102"/>
  <c r="G27" i="102"/>
  <c r="G6" i="102" s="1"/>
  <c r="G4" i="102" s="1"/>
  <c r="C147" i="95"/>
  <c r="C171" i="95" s="1"/>
  <c r="D175" i="95"/>
  <c r="D171" i="95"/>
  <c r="H27" i="102" l="1"/>
  <c r="H6" i="102" s="1"/>
  <c r="H4" i="102" s="1"/>
  <c r="L10" i="102"/>
  <c r="J15" i="82"/>
  <c r="F15" i="82"/>
  <c r="F25" i="106"/>
  <c r="AE7" i="97"/>
  <c r="J10" i="102"/>
  <c r="C7" i="112"/>
  <c r="C10" i="112" s="1"/>
  <c r="D7" i="112"/>
  <c r="D7" i="111"/>
  <c r="Y14" i="82"/>
  <c r="Y15" i="82" s="1"/>
  <c r="C175" i="95"/>
  <c r="D15" i="117"/>
  <c r="G178" i="95"/>
  <c r="E22" i="112"/>
  <c r="C10" i="111"/>
  <c r="F21" i="111"/>
  <c r="F22" i="112"/>
  <c r="C4" i="112"/>
  <c r="C4" i="111"/>
  <c r="K41" i="102"/>
  <c r="K42" i="102"/>
  <c r="M6" i="80"/>
  <c r="I27" i="102"/>
  <c r="O37" i="80" l="1"/>
  <c r="O39" i="80"/>
  <c r="P11" i="80"/>
  <c r="D21" i="118"/>
  <c r="M9" i="80"/>
  <c r="O25" i="80" s="1"/>
  <c r="D10" i="112"/>
  <c r="D14" i="112"/>
  <c r="D10" i="111"/>
  <c r="D14" i="111"/>
  <c r="E7" i="111"/>
  <c r="E7" i="112"/>
  <c r="O21" i="80"/>
  <c r="S32" i="80"/>
  <c r="F15" i="117"/>
  <c r="F14" i="117" s="1"/>
  <c r="D10" i="117"/>
  <c r="D19" i="112"/>
  <c r="D18" i="111"/>
  <c r="E15" i="117"/>
  <c r="E14" i="117" s="1"/>
  <c r="D22" i="112"/>
  <c r="D21" i="111"/>
  <c r="C6" i="112"/>
  <c r="C14" i="112"/>
  <c r="C6" i="111"/>
  <c r="C14" i="111"/>
  <c r="E19" i="112"/>
  <c r="E18" i="111"/>
  <c r="L42" i="102"/>
  <c r="L41" i="102"/>
  <c r="H37" i="81" l="1"/>
  <c r="D47" i="100"/>
  <c r="D46" i="100" s="1"/>
  <c r="D45" i="100" s="1"/>
  <c r="D25" i="100" s="1"/>
  <c r="D26" i="100" s="1"/>
  <c r="N10" i="102"/>
  <c r="M10" i="102"/>
  <c r="O10" i="102"/>
  <c r="O11" i="102"/>
  <c r="D13" i="117"/>
  <c r="D14" i="117" s="1"/>
  <c r="E10" i="112"/>
  <c r="E10" i="111"/>
  <c r="P34" i="80"/>
  <c r="P36" i="80" s="1"/>
  <c r="P37" i="80" s="1"/>
  <c r="G20" i="111"/>
  <c r="G21" i="112"/>
  <c r="E28" i="81"/>
  <c r="E35" i="81" s="1"/>
  <c r="M41" i="102"/>
  <c r="M42" i="102"/>
  <c r="C21" i="112"/>
  <c r="C20" i="111"/>
  <c r="E37" i="81"/>
  <c r="D21" i="112"/>
  <c r="D20" i="111"/>
  <c r="C23" i="111"/>
  <c r="C23" i="112"/>
  <c r="E8" i="81"/>
  <c r="E20" i="81" s="1"/>
  <c r="F20" i="111" l="1"/>
  <c r="G37" i="81"/>
  <c r="G40" i="80"/>
  <c r="N41" i="102"/>
  <c r="N42" i="102"/>
  <c r="F21" i="112"/>
  <c r="E43" i="81"/>
  <c r="E53" i="81" s="1"/>
  <c r="E54" i="81" s="1"/>
  <c r="E57" i="81" s="1"/>
  <c r="D23" i="111"/>
  <c r="D23" i="112"/>
  <c r="C20" i="112"/>
  <c r="C17" i="112" s="1"/>
  <c r="C16" i="112" s="1"/>
  <c r="C24" i="112" s="1"/>
  <c r="C27" i="112" s="1"/>
  <c r="C19" i="111"/>
  <c r="C16" i="111" s="1"/>
  <c r="C15" i="111" s="1"/>
  <c r="D20" i="112"/>
  <c r="D17" i="112" s="1"/>
  <c r="D19" i="111"/>
  <c r="D16" i="111" s="1"/>
  <c r="D15" i="111" s="1"/>
  <c r="O41" i="102" l="1"/>
  <c r="O42" i="102"/>
  <c r="D16" i="112"/>
  <c r="D24" i="112" s="1"/>
  <c r="D27" i="112" s="1"/>
  <c r="C25" i="111"/>
  <c r="C26" i="112"/>
  <c r="C28" i="112" s="1"/>
  <c r="D26" i="112" s="1"/>
  <c r="C26" i="111"/>
  <c r="C22" i="111"/>
  <c r="D26" i="111"/>
  <c r="D22" i="111"/>
  <c r="J10" i="80" l="1"/>
  <c r="J38" i="80" s="1"/>
  <c r="C27" i="111"/>
  <c r="D25" i="111" s="1"/>
  <c r="D27" i="111" s="1"/>
  <c r="E25" i="111" s="1"/>
  <c r="D28" i="112"/>
  <c r="E26" i="112" s="1"/>
  <c r="L47" i="81" l="1"/>
  <c r="K10" i="80"/>
  <c r="K38" i="80" s="1"/>
  <c r="J11" i="80"/>
  <c r="J39" i="80" s="1"/>
  <c r="F56" i="81"/>
  <c r="D8" i="117" s="1"/>
  <c r="D24" i="117"/>
  <c r="D38" i="117" s="1"/>
  <c r="E11" i="112"/>
  <c r="E11" i="111"/>
  <c r="E55" i="81"/>
  <c r="K11" i="80" l="1"/>
  <c r="K39" i="80" s="1"/>
  <c r="M11" i="81" s="1"/>
  <c r="M51" i="81" s="1"/>
  <c r="M10" i="80"/>
  <c r="E13" i="112"/>
  <c r="E14" i="112"/>
  <c r="E13" i="111"/>
  <c r="E14" i="111"/>
  <c r="H56" i="102"/>
  <c r="M11" i="80" l="1"/>
  <c r="M39" i="80"/>
  <c r="M38" i="80"/>
  <c r="M47" i="81"/>
  <c r="M43" i="81" s="1"/>
  <c r="M53" i="81" s="1"/>
  <c r="I55" i="102"/>
  <c r="I6" i="102" s="1"/>
  <c r="I4" i="102" s="1"/>
  <c r="I56" i="102"/>
  <c r="D26" i="117" l="1"/>
  <c r="J56" i="102"/>
  <c r="J55" i="102"/>
  <c r="E10" i="117" l="1"/>
  <c r="F19" i="112"/>
  <c r="F18" i="111"/>
  <c r="L37" i="81"/>
  <c r="D25" i="117"/>
  <c r="D39" i="117"/>
  <c r="F28" i="81"/>
  <c r="F35" i="81" s="1"/>
  <c r="K55" i="102"/>
  <c r="K56" i="102"/>
  <c r="L56" i="102" s="1"/>
  <c r="D28" i="117" l="1"/>
  <c r="D40" i="117" s="1"/>
  <c r="F37" i="81"/>
  <c r="E20" i="111"/>
  <c r="E21" i="112"/>
  <c r="E28" i="117"/>
  <c r="M55" i="102"/>
  <c r="L55" i="102"/>
  <c r="E20" i="112" l="1"/>
  <c r="E17" i="112" s="1"/>
  <c r="F51" i="81"/>
  <c r="E23" i="112" s="1"/>
  <c r="D11" i="117"/>
  <c r="B20" i="111"/>
  <c r="B21" i="112"/>
  <c r="G28" i="117" l="1"/>
  <c r="M34" i="80"/>
  <c r="L11" i="81"/>
  <c r="E16" i="112"/>
  <c r="E24" i="112" s="1"/>
  <c r="E27" i="112" s="1"/>
  <c r="E28" i="112" s="1"/>
  <c r="F26" i="112" s="1"/>
  <c r="E23" i="111"/>
  <c r="F43" i="81"/>
  <c r="F53" i="81" s="1"/>
  <c r="G20" i="81"/>
  <c r="G51" i="81"/>
  <c r="G43" i="81" s="1"/>
  <c r="G53" i="81" s="1"/>
  <c r="K11" i="81"/>
  <c r="H43" i="81"/>
  <c r="D7" i="117"/>
  <c r="D17" i="117" s="1"/>
  <c r="D22" i="117" s="1"/>
  <c r="D27" i="117" s="1"/>
  <c r="D29" i="117" s="1"/>
  <c r="D34" i="117" s="1"/>
  <c r="E8" i="117" s="1"/>
  <c r="E19" i="111"/>
  <c r="E16" i="111" s="1"/>
  <c r="E15" i="111" s="1"/>
  <c r="E22" i="111" s="1"/>
  <c r="F20" i="81"/>
  <c r="E11" i="117"/>
  <c r="I47" i="81"/>
  <c r="M35" i="80" l="1"/>
  <c r="L51" i="81"/>
  <c r="F23" i="111"/>
  <c r="F23" i="112"/>
  <c r="F54" i="81"/>
  <c r="F57" i="81" s="1"/>
  <c r="G56" i="81" s="1"/>
  <c r="F11" i="117"/>
  <c r="F28" i="117"/>
  <c r="G23" i="112"/>
  <c r="F19" i="111"/>
  <c r="F16" i="111" s="1"/>
  <c r="F20" i="112"/>
  <c r="F17" i="112" s="1"/>
  <c r="E26" i="111"/>
  <c r="E27" i="111" s="1"/>
  <c r="F25" i="111" s="1"/>
  <c r="E7" i="117"/>
  <c r="E17" i="117" s="1"/>
  <c r="J47" i="81"/>
  <c r="K47" i="81"/>
  <c r="I28" i="117"/>
  <c r="J11" i="81"/>
  <c r="J51" i="81" s="1"/>
  <c r="K51" i="81"/>
  <c r="I51" i="81"/>
  <c r="N51" i="81" l="1"/>
  <c r="N43" i="81" s="1"/>
  <c r="N53" i="81" s="1"/>
  <c r="N8" i="81"/>
  <c r="N20" i="81" s="1"/>
  <c r="K43" i="81"/>
  <c r="F55" i="81"/>
  <c r="H53" i="81"/>
  <c r="G23" i="111"/>
  <c r="I11" i="117"/>
  <c r="H11" i="117"/>
  <c r="H28" i="117"/>
  <c r="G11" i="117"/>
  <c r="L43" i="81"/>
  <c r="L53" i="81" s="1"/>
  <c r="J43" i="81"/>
  <c r="J53" i="81" s="1"/>
  <c r="I43" i="81"/>
  <c r="I53" i="81" s="1"/>
  <c r="H23" i="111"/>
  <c r="H23" i="112"/>
  <c r="J23" i="112"/>
  <c r="J23" i="111"/>
  <c r="F16" i="112"/>
  <c r="F15" i="111"/>
  <c r="I57" i="80"/>
  <c r="N54" i="81" l="1"/>
  <c r="I23" i="111"/>
  <c r="I23" i="112"/>
  <c r="B23" i="112" l="1"/>
  <c r="B23" i="111"/>
  <c r="K37" i="81"/>
  <c r="K53" i="81" s="1"/>
  <c r="J22" i="112"/>
  <c r="J21" i="111"/>
  <c r="B22" i="112" l="1"/>
  <c r="B21" i="111"/>
  <c r="E61" i="72" l="1"/>
  <c r="W61" i="72" l="1"/>
  <c r="D10" i="118"/>
  <c r="F24" i="117"/>
  <c r="F25" i="117" s="1"/>
  <c r="G11" i="111"/>
  <c r="G11" i="112"/>
  <c r="F24" i="82" l="1"/>
  <c r="F29" i="82" s="1"/>
  <c r="D19" i="118"/>
  <c r="G13" i="111"/>
  <c r="G14" i="111"/>
  <c r="G13" i="112"/>
  <c r="G14" i="112"/>
  <c r="N24" i="102"/>
  <c r="M24" i="102"/>
  <c r="K24" i="102"/>
  <c r="K6" i="102" s="1"/>
  <c r="L24" i="102"/>
  <c r="D22" i="118" l="1"/>
  <c r="F31" i="82" l="1"/>
  <c r="H28" i="81" l="1"/>
  <c r="H35" i="81" l="1"/>
  <c r="W80" i="97"/>
  <c r="W88" i="97" l="1"/>
  <c r="H31" i="109"/>
  <c r="G27" i="109"/>
  <c r="W27" i="109"/>
  <c r="F7" i="111" l="1"/>
  <c r="F7" i="112"/>
  <c r="V27" i="109"/>
  <c r="G31" i="109"/>
  <c r="J27" i="102"/>
  <c r="E19" i="117"/>
  <c r="E20" i="117" s="1"/>
  <c r="E22" i="117" s="1"/>
  <c r="E27" i="117" s="1"/>
  <c r="E29" i="117" s="1"/>
  <c r="E34" i="117" s="1"/>
  <c r="F8" i="117" s="1"/>
  <c r="J6" i="102" l="1"/>
  <c r="J4" i="102" s="1"/>
  <c r="F10" i="112"/>
  <c r="F14" i="112"/>
  <c r="F10" i="111"/>
  <c r="F14" i="111"/>
  <c r="K4" i="102" l="1"/>
  <c r="H8" i="81"/>
  <c r="G19" i="111" s="1"/>
  <c r="G19" i="112"/>
  <c r="G18" i="111"/>
  <c r="F10" i="117"/>
  <c r="F7" i="117" s="1"/>
  <c r="F17" i="117" s="1"/>
  <c r="F22" i="117" s="1"/>
  <c r="F27" i="117" s="1"/>
  <c r="F29" i="117" s="1"/>
  <c r="F34" i="117" s="1"/>
  <c r="G8" i="117" s="1"/>
  <c r="F22" i="111"/>
  <c r="F26" i="111"/>
  <c r="F24" i="112"/>
  <c r="H18" i="111" l="1"/>
  <c r="H19" i="112"/>
  <c r="G10" i="117"/>
  <c r="I8" i="81"/>
  <c r="I20" i="81" s="1"/>
  <c r="G20" i="112"/>
  <c r="G17" i="112" s="1"/>
  <c r="G7" i="117"/>
  <c r="G17" i="117" s="1"/>
  <c r="H20" i="81"/>
  <c r="H54" i="81" s="1"/>
  <c r="G28" i="81"/>
  <c r="G16" i="111"/>
  <c r="F27" i="111"/>
  <c r="G25" i="111" s="1"/>
  <c r="F27" i="112"/>
  <c r="H19" i="111" l="1"/>
  <c r="H16" i="111" s="1"/>
  <c r="H15" i="111" s="1"/>
  <c r="H20" i="112"/>
  <c r="H17" i="112" s="1"/>
  <c r="H16" i="112" s="1"/>
  <c r="G35" i="81"/>
  <c r="G54" i="81" s="1"/>
  <c r="G57" i="81" s="1"/>
  <c r="G16" i="112"/>
  <c r="G15" i="111"/>
  <c r="F28" i="112"/>
  <c r="G26" i="112" s="1"/>
  <c r="H56" i="81" l="1"/>
  <c r="H57" i="81" s="1"/>
  <c r="I56" i="81" s="1"/>
  <c r="G55" i="81"/>
  <c r="G22" i="111"/>
  <c r="G26" i="111"/>
  <c r="G24" i="112"/>
  <c r="H55" i="81" l="1"/>
  <c r="G27" i="111"/>
  <c r="H25" i="111" s="1"/>
  <c r="G27" i="112"/>
  <c r="G28" i="112" l="1"/>
  <c r="H26" i="112" s="1"/>
  <c r="Q34" i="77" l="1"/>
  <c r="C34" i="77" s="1"/>
  <c r="Z34" i="77" s="1"/>
  <c r="AI98" i="97" s="1"/>
  <c r="Q33" i="77"/>
  <c r="C33" i="77" s="1"/>
  <c r="N25" i="102" l="1"/>
  <c r="O24" i="102" s="1"/>
  <c r="Z33" i="77"/>
  <c r="K7" i="100"/>
  <c r="F7" i="100" s="1"/>
  <c r="J36" i="82"/>
  <c r="H10" i="118"/>
  <c r="C10" i="118" s="1"/>
  <c r="J26" i="82"/>
  <c r="E26" i="82" s="1"/>
  <c r="H18" i="118"/>
  <c r="C18" i="118" s="1"/>
  <c r="J24" i="82" l="1"/>
  <c r="E24" i="82" s="1"/>
  <c r="K99" i="97" l="1"/>
  <c r="K100" i="97" l="1"/>
  <c r="M65" i="102" s="1"/>
  <c r="K26" i="97"/>
  <c r="K61" i="97" l="1"/>
  <c r="L95" i="97"/>
  <c r="L93" i="97"/>
  <c r="G9" i="118" l="1"/>
  <c r="K95" i="97"/>
  <c r="W23" i="109"/>
  <c r="S23" i="109"/>
  <c r="T31" i="109"/>
  <c r="M56" i="102"/>
  <c r="K93" i="97"/>
  <c r="I15" i="106"/>
  <c r="I16" i="82"/>
  <c r="I20" i="106" l="1"/>
  <c r="I21" i="106" s="1"/>
  <c r="J25" i="100"/>
  <c r="J6" i="100"/>
  <c r="I35" i="82"/>
  <c r="W31" i="109"/>
  <c r="J7" i="112"/>
  <c r="G7" i="118"/>
  <c r="J7" i="111"/>
  <c r="I21" i="82"/>
  <c r="N55" i="102"/>
  <c r="V23" i="109"/>
  <c r="S31" i="109"/>
  <c r="V31" i="109" l="1"/>
  <c r="I22" i="82"/>
  <c r="J14" i="112"/>
  <c r="J10" i="112"/>
  <c r="B7" i="112"/>
  <c r="B10" i="112" s="1"/>
  <c r="J10" i="111"/>
  <c r="J14" i="111"/>
  <c r="B7" i="111"/>
  <c r="B10" i="111" s="1"/>
  <c r="AC32" i="97" l="1"/>
  <c r="W32" i="97"/>
  <c r="N61" i="97" l="1"/>
  <c r="C61" i="97" s="1"/>
  <c r="O95" i="97"/>
  <c r="O93" i="97"/>
  <c r="J15" i="106" s="1"/>
  <c r="E15" i="106" s="1"/>
  <c r="N26" i="97"/>
  <c r="C26" i="97" s="1"/>
  <c r="O99" i="97" l="1"/>
  <c r="O100" i="97" s="1"/>
  <c r="N66" i="102" s="1"/>
  <c r="N56" i="102" s="1"/>
  <c r="W26" i="97"/>
  <c r="J20" i="106"/>
  <c r="AC26" i="97"/>
  <c r="AC61" i="97"/>
  <c r="N95" i="97"/>
  <c r="C95" i="97" s="1"/>
  <c r="W95" i="97" s="1"/>
  <c r="H9" i="118"/>
  <c r="C9" i="118" s="1"/>
  <c r="N93" i="97"/>
  <c r="C93" i="97" s="1"/>
  <c r="J16" i="82"/>
  <c r="E16" i="82" s="1"/>
  <c r="J21" i="106" l="1"/>
  <c r="E21" i="106" s="1"/>
  <c r="E20" i="106"/>
  <c r="AI97" i="97"/>
  <c r="Q104" i="97"/>
  <c r="J21" i="82"/>
  <c r="E21" i="82" s="1"/>
  <c r="J23" i="106"/>
  <c r="K25" i="100"/>
  <c r="F25" i="100" s="1"/>
  <c r="N25" i="100" s="1"/>
  <c r="K6" i="100"/>
  <c r="J35" i="82"/>
  <c r="O55" i="102"/>
  <c r="O56" i="102"/>
  <c r="H7" i="118"/>
  <c r="C7" i="118" s="1"/>
  <c r="AC95" i="97"/>
  <c r="C97" i="97"/>
  <c r="AC93" i="97"/>
  <c r="W93" i="97"/>
  <c r="AI93" i="97" s="1"/>
  <c r="W61" i="97"/>
  <c r="K26" i="100" l="1"/>
  <c r="K46" i="100" s="1"/>
  <c r="K45" i="100" s="1"/>
  <c r="K8" i="100"/>
  <c r="K13" i="100" s="1"/>
  <c r="K12" i="100" s="1"/>
  <c r="F6" i="100"/>
  <c r="P6" i="100"/>
  <c r="Q25" i="100" s="1"/>
  <c r="O15" i="82"/>
  <c r="M18" i="118"/>
  <c r="N18" i="118" s="1"/>
  <c r="N20" i="106"/>
  <c r="P20" i="106" s="1"/>
  <c r="J25" i="106"/>
  <c r="J29" i="82"/>
  <c r="J31" i="82" s="1"/>
  <c r="L35" i="82"/>
  <c r="J37" i="82"/>
  <c r="L8" i="100"/>
  <c r="J22" i="82"/>
  <c r="E22" i="82" s="1"/>
  <c r="L26" i="100"/>
  <c r="H19" i="118"/>
  <c r="R25" i="100" l="1"/>
  <c r="Q6" i="100"/>
  <c r="P15" i="82"/>
  <c r="L30" i="81"/>
  <c r="H27" i="118"/>
  <c r="H30" i="118" s="1"/>
  <c r="H26" i="118"/>
  <c r="H29" i="118" s="1"/>
  <c r="H25" i="118"/>
  <c r="H28" i="118" s="1"/>
  <c r="L13" i="100"/>
  <c r="H22" i="118"/>
  <c r="L46" i="100"/>
  <c r="H31" i="118" l="1"/>
  <c r="L45" i="100"/>
  <c r="L12" i="100"/>
  <c r="L28" i="81"/>
  <c r="L35" i="81" s="1"/>
  <c r="W53" i="72"/>
  <c r="E51" i="72"/>
  <c r="W51" i="72" l="1"/>
  <c r="F62" i="72"/>
  <c r="AD62" i="72" l="1"/>
  <c r="E62" i="72"/>
  <c r="K35" i="102" l="1"/>
  <c r="K28" i="102" s="1"/>
  <c r="M12" i="109"/>
  <c r="W12" i="109"/>
  <c r="W62" i="72" l="1"/>
  <c r="B118" i="97"/>
  <c r="L27" i="102"/>
  <c r="H4" i="112"/>
  <c r="H4" i="111"/>
  <c r="V12" i="109"/>
  <c r="I19" i="112" l="1"/>
  <c r="I18" i="111"/>
  <c r="H10" i="117"/>
  <c r="J8" i="81"/>
  <c r="B4" i="111"/>
  <c r="B6" i="111" s="1"/>
  <c r="H6" i="111"/>
  <c r="H6" i="112"/>
  <c r="B4" i="112"/>
  <c r="B6" i="112" s="1"/>
  <c r="J20" i="81" l="1"/>
  <c r="I19" i="111"/>
  <c r="I20" i="112"/>
  <c r="I17" i="112" s="1"/>
  <c r="I16" i="112" l="1"/>
  <c r="I16" i="111"/>
  <c r="I24" i="112" l="1"/>
  <c r="I15" i="111"/>
  <c r="I22" i="111" l="1"/>
  <c r="I26" i="111"/>
  <c r="I27" i="112"/>
  <c r="Z26" i="77"/>
  <c r="Z23" i="77"/>
  <c r="Z24" i="77"/>
  <c r="I13" i="77"/>
  <c r="I34" i="77" s="1"/>
  <c r="H34" i="77" l="1"/>
  <c r="H13" i="77"/>
  <c r="I31" i="81" l="1"/>
  <c r="Z13" i="77"/>
  <c r="H11" i="112"/>
  <c r="P7" i="100"/>
  <c r="Q7" i="100" s="1"/>
  <c r="H11" i="111"/>
  <c r="E10" i="118"/>
  <c r="G36" i="82"/>
  <c r="H12" i="112"/>
  <c r="G25" i="82"/>
  <c r="H12" i="111"/>
  <c r="B12" i="111" s="1"/>
  <c r="G31" i="117"/>
  <c r="G32" i="117" s="1"/>
  <c r="E17" i="118"/>
  <c r="D49" i="77" l="1"/>
  <c r="M19" i="118"/>
  <c r="O16" i="82"/>
  <c r="G24" i="82"/>
  <c r="H13" i="112"/>
  <c r="B11" i="112"/>
  <c r="H14" i="112"/>
  <c r="L36" i="82"/>
  <c r="H15" i="112"/>
  <c r="B15" i="112" s="1"/>
  <c r="B12" i="112"/>
  <c r="H13" i="111"/>
  <c r="H14" i="111"/>
  <c r="B11" i="111"/>
  <c r="B13" i="111" s="1"/>
  <c r="N19" i="118" l="1"/>
  <c r="P16" i="82"/>
  <c r="B13" i="112"/>
  <c r="B14" i="111"/>
  <c r="H22" i="111"/>
  <c r="H26" i="111"/>
  <c r="B14" i="112"/>
  <c r="H24" i="112"/>
  <c r="H27" i="111" l="1"/>
  <c r="I25" i="111" s="1"/>
  <c r="I27" i="111" s="1"/>
  <c r="J25" i="111" s="1"/>
  <c r="H27" i="112"/>
  <c r="H28" i="112" l="1"/>
  <c r="I26" i="112" s="1"/>
  <c r="I28" i="112" s="1"/>
  <c r="J26" i="112" s="1"/>
  <c r="M16" i="109" l="1"/>
  <c r="M18" i="109" s="1"/>
  <c r="F90" i="72"/>
  <c r="G8" i="106" s="1"/>
  <c r="G13" i="106" l="1"/>
  <c r="G9" i="82"/>
  <c r="E6" i="118"/>
  <c r="E90" i="72"/>
  <c r="G97" i="72" s="1"/>
  <c r="G14" i="82" l="1"/>
  <c r="G19" i="117"/>
  <c r="G20" i="117" s="1"/>
  <c r="G22" i="117" s="1"/>
  <c r="G27" i="117" s="1"/>
  <c r="G29" i="117" s="1"/>
  <c r="G34" i="117" s="1"/>
  <c r="H8" i="117" s="1"/>
  <c r="H7" i="117" s="1"/>
  <c r="H17" i="117" s="1"/>
  <c r="M33" i="109"/>
  <c r="G23" i="106"/>
  <c r="G14" i="106"/>
  <c r="N33" i="109"/>
  <c r="E4" i="118"/>
  <c r="G34" i="82"/>
  <c r="G37" i="82" l="1"/>
  <c r="G25" i="106"/>
  <c r="E19" i="118"/>
  <c r="G29" i="82"/>
  <c r="G31" i="82" s="1"/>
  <c r="G15" i="82"/>
  <c r="E22" i="118" l="1"/>
  <c r="E26" i="118"/>
  <c r="E29" i="118" s="1"/>
  <c r="E27" i="118"/>
  <c r="E30" i="118" s="1"/>
  <c r="E25" i="118"/>
  <c r="E28" i="118" s="1"/>
  <c r="H12" i="100" l="1"/>
  <c r="I28" i="81"/>
  <c r="I35" i="81" s="1"/>
  <c r="I54" i="81" s="1"/>
  <c r="I57" i="81" s="1"/>
  <c r="E31" i="118"/>
  <c r="E88" i="72"/>
  <c r="E89" i="72" l="1"/>
  <c r="J56" i="81"/>
  <c r="I55" i="81"/>
  <c r="H88" i="72"/>
  <c r="C88" i="72" s="1"/>
  <c r="I89" i="72"/>
  <c r="H16" i="109" s="1"/>
  <c r="H18" i="109" l="1"/>
  <c r="H33" i="109" s="1"/>
  <c r="G16" i="109"/>
  <c r="G18" i="109" s="1"/>
  <c r="G33" i="109" s="1"/>
  <c r="P16" i="109"/>
  <c r="H89" i="72"/>
  <c r="K89" i="72" l="1"/>
  <c r="C89" i="72" s="1"/>
  <c r="L89" i="72"/>
  <c r="L90" i="72" l="1"/>
  <c r="I9" i="82" s="1"/>
  <c r="K16" i="109"/>
  <c r="W89" i="72"/>
  <c r="W88" i="72"/>
  <c r="G6" i="118" l="1"/>
  <c r="I8" i="106"/>
  <c r="K90" i="72"/>
  <c r="I97" i="72" s="1"/>
  <c r="K18" i="109"/>
  <c r="K33" i="109" s="1"/>
  <c r="J16" i="109"/>
  <c r="J18" i="109" s="1"/>
  <c r="J33" i="109" s="1"/>
  <c r="W16" i="109"/>
  <c r="S16" i="109"/>
  <c r="S18" i="109" s="1"/>
  <c r="I14" i="82"/>
  <c r="I19" i="117"/>
  <c r="I20" i="117" s="1"/>
  <c r="I13" i="106"/>
  <c r="J5" i="100"/>
  <c r="J24" i="100" l="1"/>
  <c r="G4" i="118"/>
  <c r="I34" i="82"/>
  <c r="I37" i="82" s="1"/>
  <c r="G19" i="118"/>
  <c r="T33" i="109"/>
  <c r="I14" i="106"/>
  <c r="I23" i="106"/>
  <c r="I15" i="82"/>
  <c r="I29" i="82"/>
  <c r="V16" i="109"/>
  <c r="J26" i="100"/>
  <c r="J8" i="100"/>
  <c r="G25" i="118" l="1"/>
  <c r="G28" i="118" s="1"/>
  <c r="S33" i="109"/>
  <c r="I25" i="106"/>
  <c r="G27" i="118"/>
  <c r="G30" i="118" s="1"/>
  <c r="G22" i="118"/>
  <c r="G26" i="118"/>
  <c r="G29" i="118" s="1"/>
  <c r="I31" i="82"/>
  <c r="J13" i="100"/>
  <c r="J46" i="100"/>
  <c r="G31" i="118" l="1"/>
  <c r="J45" i="100"/>
  <c r="K30" i="81"/>
  <c r="K28" i="81" s="1"/>
  <c r="K35" i="81" s="1"/>
  <c r="J12" i="100"/>
  <c r="H73" i="72"/>
  <c r="H85" i="72"/>
  <c r="C85" i="72" s="1"/>
  <c r="C73" i="72" l="1"/>
  <c r="W73" i="72" s="1"/>
  <c r="W85" i="72"/>
  <c r="B117" i="97"/>
  <c r="L36" i="102"/>
  <c r="L28" i="102" s="1"/>
  <c r="I90" i="72"/>
  <c r="W14" i="109" l="1"/>
  <c r="P14" i="109"/>
  <c r="P18" i="109" s="1"/>
  <c r="M27" i="102"/>
  <c r="M28" i="102"/>
  <c r="F6" i="118"/>
  <c r="C6" i="118" s="1"/>
  <c r="H9" i="82"/>
  <c r="E9" i="82" s="1"/>
  <c r="H90" i="72"/>
  <c r="H8" i="106"/>
  <c r="E8" i="106" s="1"/>
  <c r="C90" i="72" l="1"/>
  <c r="W90" i="72" s="1"/>
  <c r="AI96" i="97" s="1"/>
  <c r="AI99" i="97" s="1"/>
  <c r="AJ99" i="97" s="1"/>
  <c r="H97" i="72"/>
  <c r="M97" i="72" s="1"/>
  <c r="M98" i="72" s="1"/>
  <c r="W18" i="109"/>
  <c r="Q33" i="109"/>
  <c r="W33" i="109" s="1"/>
  <c r="N27" i="102"/>
  <c r="N28" i="102"/>
  <c r="H13" i="106"/>
  <c r="V14" i="109"/>
  <c r="H14" i="82"/>
  <c r="E14" i="82" s="1"/>
  <c r="H19" i="117"/>
  <c r="H20" i="117" s="1"/>
  <c r="H22" i="117" s="1"/>
  <c r="H27" i="117" s="1"/>
  <c r="H29" i="117" s="1"/>
  <c r="H34" i="117" s="1"/>
  <c r="I8" i="117" s="1"/>
  <c r="I7" i="117" s="1"/>
  <c r="I17" i="117" s="1"/>
  <c r="I22" i="117" s="1"/>
  <c r="I27" i="117" s="1"/>
  <c r="I29" i="117" s="1"/>
  <c r="I34" i="117" s="1"/>
  <c r="J18" i="111"/>
  <c r="K8" i="81"/>
  <c r="J19" i="112"/>
  <c r="I10" i="117"/>
  <c r="I24" i="100"/>
  <c r="F24" i="100" s="1"/>
  <c r="N24" i="100" s="1"/>
  <c r="F4" i="118"/>
  <c r="C4" i="118" s="1"/>
  <c r="I5" i="100"/>
  <c r="F5" i="100" s="1"/>
  <c r="H34" i="82"/>
  <c r="L8" i="81" l="1"/>
  <c r="L20" i="81" s="1"/>
  <c r="L54" i="81" s="1"/>
  <c r="E13" i="106"/>
  <c r="H23" i="106"/>
  <c r="H25" i="106" s="1"/>
  <c r="E25" i="106" s="1"/>
  <c r="O14" i="82"/>
  <c r="O17" i="82" s="1"/>
  <c r="M17" i="118"/>
  <c r="M20" i="118" s="1"/>
  <c r="P5" i="100"/>
  <c r="Q24" i="100" s="1"/>
  <c r="Q26" i="100" s="1"/>
  <c r="N19" i="106"/>
  <c r="N21" i="106" s="1"/>
  <c r="H15" i="82"/>
  <c r="E15" i="82" s="1"/>
  <c r="H29" i="82"/>
  <c r="E29" i="82" s="1"/>
  <c r="I8" i="100"/>
  <c r="F8" i="100" s="1"/>
  <c r="O27" i="102"/>
  <c r="O28" i="102"/>
  <c r="H14" i="106"/>
  <c r="E14" i="106" s="1"/>
  <c r="F19" i="118"/>
  <c r="C19" i="118" s="1"/>
  <c r="L34" i="82"/>
  <c r="M35" i="82" s="1"/>
  <c r="L28" i="106" s="1"/>
  <c r="H37" i="82"/>
  <c r="M38" i="82" s="1"/>
  <c r="B18" i="111"/>
  <c r="K20" i="81"/>
  <c r="K54" i="81" s="1"/>
  <c r="J19" i="111"/>
  <c r="B19" i="111" s="1"/>
  <c r="J20" i="112"/>
  <c r="B20" i="112" s="1"/>
  <c r="B19" i="112"/>
  <c r="I26" i="100"/>
  <c r="F26" i="100" s="1"/>
  <c r="N26" i="100" s="1"/>
  <c r="P33" i="109"/>
  <c r="V33" i="109" s="1"/>
  <c r="V18" i="109"/>
  <c r="Q5" i="100" l="1"/>
  <c r="M8" i="81"/>
  <c r="M20" i="81" s="1"/>
  <c r="M54" i="81" s="1"/>
  <c r="P19" i="106"/>
  <c r="P21" i="106"/>
  <c r="P14" i="82"/>
  <c r="N20" i="118"/>
  <c r="N17" i="118"/>
  <c r="P8" i="100"/>
  <c r="Q8" i="100" s="1"/>
  <c r="E23" i="106"/>
  <c r="F25" i="118"/>
  <c r="F28" i="118" s="1"/>
  <c r="J16" i="111"/>
  <c r="B16" i="111" s="1"/>
  <c r="M15" i="111" s="1"/>
  <c r="H31" i="82"/>
  <c r="E31" i="82" s="1"/>
  <c r="P17" i="82" s="1"/>
  <c r="F27" i="118"/>
  <c r="F30" i="118" s="1"/>
  <c r="F26" i="118"/>
  <c r="F29" i="118" s="1"/>
  <c r="F22" i="118"/>
  <c r="C22" i="118" s="1"/>
  <c r="I13" i="100"/>
  <c r="F13" i="100" s="1"/>
  <c r="J17" i="112"/>
  <c r="I46" i="100"/>
  <c r="F46" i="100" s="1"/>
  <c r="N46" i="100" s="1"/>
  <c r="T44" i="100" s="1"/>
  <c r="R26" i="100" l="1"/>
  <c r="R24" i="100"/>
  <c r="F31" i="118"/>
  <c r="J15" i="111"/>
  <c r="J22" i="111" s="1"/>
  <c r="B22" i="111" s="1"/>
  <c r="I12" i="100"/>
  <c r="F12" i="100" s="1"/>
  <c r="J16" i="112"/>
  <c r="B17" i="112"/>
  <c r="M16" i="112" s="1"/>
  <c r="J30" i="81"/>
  <c r="J28" i="81" s="1"/>
  <c r="J35" i="81" s="1"/>
  <c r="J54" i="81" s="1"/>
  <c r="J57" i="81" s="1"/>
  <c r="I45" i="100"/>
  <c r="F45" i="100" s="1"/>
  <c r="N45" i="100" s="1"/>
  <c r="B15" i="111" l="1"/>
  <c r="J26" i="111"/>
  <c r="J27" i="111" s="1"/>
  <c r="B16" i="112"/>
  <c r="J24" i="112"/>
  <c r="K56" i="81"/>
  <c r="K57" i="81" s="1"/>
  <c r="J55" i="81"/>
  <c r="B26" i="111" l="1"/>
  <c r="K55" i="81"/>
  <c r="L56" i="81"/>
  <c r="L57" i="81" s="1"/>
  <c r="B24" i="112"/>
  <c r="J27" i="112"/>
  <c r="L55" i="81" l="1"/>
  <c r="M56" i="81"/>
  <c r="M57" i="81" s="1"/>
  <c r="B27" i="112"/>
  <c r="J28" i="112"/>
  <c r="N56" i="81" l="1"/>
  <c r="N57" i="81" s="1"/>
  <c r="N55" i="81" s="1"/>
  <c r="M55" i="81"/>
</calcChain>
</file>

<file path=xl/comments1.xml><?xml version="1.0" encoding="utf-8"?>
<comments xmlns="http://schemas.openxmlformats.org/spreadsheetml/2006/main">
  <authors>
    <author>Grzegorz Kostulski</author>
  </authors>
  <commentList>
    <comment ref="AG11" authorId="0" shapeId="0">
      <text>
        <r>
          <rPr>
            <b/>
            <sz val="8"/>
            <color indexed="81"/>
            <rFont val="Tahoma"/>
            <family val="2"/>
            <charset val="238"/>
          </rPr>
          <t>wartość KI 964 000,- (674 po zmniejszeniu wskaźnikiem)</t>
        </r>
      </text>
    </comment>
    <comment ref="AG1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 30 kd łódzka+ 30 koszt TI łódzka + 65 Hubego+ 150 górka na Reja i PDG</t>
        </r>
      </text>
    </comment>
  </commentList>
</comments>
</file>

<file path=xl/comments2.xml><?xml version="1.0" encoding="utf-8"?>
<comments xmlns="http://schemas.openxmlformats.org/spreadsheetml/2006/main">
  <authors>
    <author>Grzegorz Kostulski</author>
  </authors>
  <commentList>
    <comment ref="AG11" authorId="0" shapeId="0">
      <text>
        <r>
          <rPr>
            <b/>
            <sz val="8"/>
            <color indexed="81"/>
            <rFont val="Tahoma"/>
            <family val="2"/>
            <charset val="238"/>
          </rPr>
          <t>wartość KI 964 000,- (674 po zmniejszeniu wskaźnikiem)</t>
        </r>
      </text>
    </comment>
    <comment ref="AG1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 30 kd łódzka+ 30 koszt TI łódzka + 65 Hubego+ 150 górka na Reja i PDG</t>
        </r>
      </text>
    </comment>
  </commentList>
</comments>
</file>

<file path=xl/comments3.xml><?xml version="1.0" encoding="utf-8"?>
<comments xmlns="http://schemas.openxmlformats.org/spreadsheetml/2006/main">
  <authors>
    <author>Agnieszka Roguszczak</author>
    <author>Bartłomiej Krajewski</author>
  </authors>
  <commentList>
    <comment ref="B31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zwiększenie zakresu o odcinek do posesji w ul. Łącznej
</t>
        </r>
      </text>
    </comment>
    <comment ref="B34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II fiszka, zad. 1</t>
        </r>
      </text>
    </comment>
    <comment ref="B37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pismo TT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propozycja TT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zobowiązanie wobec dewelopera BUDTECH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wg. kosztorysu inwestorskiego woda + kanał 113 tys.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zobowiązanie wobec mieszkańców , na podstawie decyzji Zarządu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odpłatne przejęcie na podstawie umowy z 5 firmami
</t>
        </r>
      </text>
    </comment>
    <comment ref="B46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sieci ZGM</t>
        </r>
      </text>
    </comment>
    <comment ref="B60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2 projekty - BIOBOX i NOT</t>
        </r>
      </text>
    </comment>
    <comment ref="B71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72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73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74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75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76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77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78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79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80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81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83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84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85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wymiana rur azbestowo-cementowych, inf. z TT od p.Widawskiej 07-08-2013</t>
        </r>
      </text>
    </comment>
    <comment ref="B88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przyjęto koszt 700 zł za m</t>
        </r>
      </text>
    </comment>
    <comment ref="H89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wartość bez kosztów TI</t>
        </r>
      </text>
    </comment>
    <comment ref="H90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wartość z kosztami TI</t>
        </r>
      </text>
    </comment>
    <comment ref="H91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wartość z kosztami TI</t>
        </r>
      </text>
    </comment>
    <comment ref="B92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2</t>
        </r>
      </text>
    </comment>
    <comment ref="B93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94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jest projekt, realizacja</t>
        </r>
      </text>
    </comment>
    <comment ref="B95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96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97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98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</t>
        </r>
      </text>
    </comment>
    <comment ref="B99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00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01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02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05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06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07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08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09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10" authorId="1" shapeId="0">
      <text>
        <r>
          <rPr>
            <b/>
            <sz val="8"/>
            <color indexed="81"/>
            <rFont val="Tahoma"/>
            <family val="2"/>
            <charset val="238"/>
          </rPr>
          <t>Bartłomiej Krajewski:</t>
        </r>
        <r>
          <rPr>
            <sz val="8"/>
            <color indexed="81"/>
            <rFont val="Tahoma"/>
            <family val="2"/>
            <charset val="238"/>
          </rPr>
          <t xml:space="preserve">
ogólna pozycja dot. wymian sieci hydroforowych, w fiszkach ujęto 150 tys.</t>
        </r>
      </text>
    </comment>
    <comment ref="B111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12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13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14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E116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płatności zgodnie z wynikam przetargu </t>
        </r>
      </text>
    </comment>
    <comment ref="E117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przesunięcie zadania ze względu na unieważnienie przetargu MZD i ogłoszenie nowego</t>
        </r>
      </text>
    </comment>
    <comment ref="E119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20 tys. na koszty TI</t>
        </r>
      </text>
    </comment>
    <comment ref="B120" authorId="0" shapeId="0">
      <text>
        <r>
          <rPr>
            <sz val="8"/>
            <color indexed="81"/>
            <rFont val="Tahoma"/>
            <family val="2"/>
            <charset val="238"/>
          </rPr>
          <t xml:space="preserve">
zwiększenie kosztów wynikające z kosztorysu inwestorskiego</t>
        </r>
      </text>
    </comment>
    <comment ref="E120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przesunięcie poz. Ze względu na planowaną wspólną realizacje z MZD</t>
        </r>
      </text>
    </comment>
    <comment ref="B123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przesunięcie ze względu na roboty drogowe w ul. Wybickiego-Trasę Średn</t>
        </r>
      </text>
    </comment>
    <comment ref="B124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przesunięcie ze względu na opóźnienie MZD w pozyskaniu decyzji administr.</t>
        </r>
      </text>
    </comment>
    <comment ref="E141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przesuniecie zadania ze względu obowiązującą gwarancję na nową nawierzchnię</t>
        </r>
      </text>
    </comment>
    <comment ref="B143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zwiększenie po wykonaniu robót</t>
        </r>
      </text>
    </comment>
    <comment ref="B154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1</t>
        </r>
      </text>
    </comment>
    <comment ref="B155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1 zad. 1</t>
        </r>
      </text>
    </comment>
    <comment ref="B159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fiszka nr 2</t>
        </r>
      </text>
    </comment>
    <comment ref="B163" authorId="0" shapeId="0">
      <text>
        <r>
          <rPr>
            <b/>
            <sz val="8"/>
            <color indexed="81"/>
            <rFont val="Tahoma"/>
            <family val="2"/>
            <charset val="238"/>
          </rPr>
          <t>Agnieszka Roguszczak:</t>
        </r>
        <r>
          <rPr>
            <sz val="8"/>
            <color indexed="81"/>
            <rFont val="Tahoma"/>
            <family val="2"/>
            <charset val="238"/>
          </rPr>
          <t xml:space="preserve">
zakres robót nieujęty w ramach zadania: Ekologiczne udrożnienie...</t>
        </r>
      </text>
    </comment>
  </commentList>
</comments>
</file>

<file path=xl/comments4.xml><?xml version="1.0" encoding="utf-8"?>
<comments xmlns="http://schemas.openxmlformats.org/spreadsheetml/2006/main">
  <authors>
    <author>Agnieszka Roguszczak</author>
  </authors>
  <commentLis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Agnieszka Roguszczak:</t>
        </r>
        <r>
          <rPr>
            <sz val="9"/>
            <color indexed="81"/>
            <rFont val="Tahoma"/>
            <family val="2"/>
            <charset val="238"/>
          </rPr>
          <t xml:space="preserve">
tylko dot. T1 i T2 na: FS III i fotowoltaika, bez pożyczki na Lubicz z T3</t>
        </r>
      </text>
    </comment>
  </commentList>
</comments>
</file>

<file path=xl/comments5.xml><?xml version="1.0" encoding="utf-8"?>
<comments xmlns="http://schemas.openxmlformats.org/spreadsheetml/2006/main">
  <authors>
    <author>Agnieszka Roguszczak</author>
  </authors>
  <commentList>
    <comment ref="N6" authorId="0" shapeId="0">
      <text>
        <r>
          <rPr>
            <b/>
            <sz val="9"/>
            <color indexed="81"/>
            <rFont val="Tahoma"/>
            <family val="2"/>
            <charset val="238"/>
          </rPr>
          <t>Agnieszka Roguszczak:</t>
        </r>
        <r>
          <rPr>
            <sz val="9"/>
            <color indexed="81"/>
            <rFont val="Tahoma"/>
            <family val="2"/>
            <charset val="238"/>
          </rPr>
          <t xml:space="preserve">
08-02-2022 dyzpozycja FZ ,dodano27 tj. amortyzacje od ul. Towarowej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  <charset val="238"/>
          </rPr>
          <t>Agnieszka Roguszczak:</t>
        </r>
        <r>
          <rPr>
            <sz val="9"/>
            <color indexed="81"/>
            <rFont val="Tahoma"/>
            <family val="2"/>
            <charset val="238"/>
          </rPr>
          <t xml:space="preserve">
08-02-2022 dyzpozycja FZ ,dodano27 tj. amortyzacje od ul. Towarowej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38"/>
          </rPr>
          <t>Agnieszka Roguszczak:</t>
        </r>
        <r>
          <rPr>
            <sz val="9"/>
            <color indexed="81"/>
            <rFont val="Tahoma"/>
            <family val="2"/>
            <charset val="238"/>
          </rPr>
          <t xml:space="preserve">
amotyzacja od konraktu Z-1/W (zakończonego w 2019)</t>
        </r>
      </text>
    </comment>
  </commentList>
</comments>
</file>

<file path=xl/sharedStrings.xml><?xml version="1.0" encoding="utf-8"?>
<sst xmlns="http://schemas.openxmlformats.org/spreadsheetml/2006/main" count="1674" uniqueCount="1011">
  <si>
    <t>Wymiana wodociągu w ul. Kochanowskiego na odcinku od ul. Mickiewicza do Bydgoskiej  DN=100mm L=220m</t>
  </si>
  <si>
    <t>Wymiana wodociągu w ul. Słowackiego na odcinku od ul. Matejki do Moniuszki  DN=125mm L=230m</t>
  </si>
  <si>
    <t>Wymiana wodociągu w ul. Boboli DN=100mm L=220m</t>
  </si>
  <si>
    <t>Wymiana wodociągu w ul. Hebanowej DN=100mm L=40m</t>
  </si>
  <si>
    <t>Wymiana wodociągu w ul Nad Zatoką DN=100mm L=420m</t>
  </si>
  <si>
    <t>Wymiana wodociągu w ul. Suchej DN=100mm L=100m</t>
  </si>
  <si>
    <t>Wymiana wodociągu w ul. Jaworowej i Olszynowej na odcinku od posesji Olszynowa 10 do posesji Jaworowa 15 DN=100mm L=130m</t>
  </si>
  <si>
    <t>Wykonanie spięcia przewodów w ul. Hallera od posesji nr 115 do posesji nr 84, DN=100 mm, L=200m</t>
  </si>
  <si>
    <t>Modernizacja, wymiana i uzupełnienie sieci wodociągowej wraz z jej uzbrojeniem (wymiana armatury)</t>
  </si>
  <si>
    <t>Wrzosy III</t>
  </si>
  <si>
    <t>Mała Nieszawka</t>
  </si>
  <si>
    <t>Przygotowanie nowych zadań inwestycyjnych związanych z wymianą i budową sieci kanalizacyjnych</t>
  </si>
  <si>
    <t>FS</t>
  </si>
  <si>
    <t>Lp.</t>
  </si>
  <si>
    <t>Lp</t>
  </si>
  <si>
    <t>Ogółem</t>
  </si>
  <si>
    <t>Nazwa bloku zadaniowego</t>
  </si>
  <si>
    <t>Nazwa i charakterystyka zadania</t>
  </si>
  <si>
    <t>-</t>
  </si>
  <si>
    <t>Spółka</t>
  </si>
  <si>
    <t>Czerniewice</t>
  </si>
  <si>
    <t>tys. zł</t>
  </si>
  <si>
    <t>Specyfikacja</t>
  </si>
  <si>
    <t>Razem</t>
  </si>
  <si>
    <t xml:space="preserve"> - wypłaty rat kredytu</t>
  </si>
  <si>
    <t xml:space="preserve"> - spłata rat</t>
  </si>
  <si>
    <t xml:space="preserve"> - odsetki </t>
  </si>
  <si>
    <t xml:space="preserve">  - w tym: inwestycyjne</t>
  </si>
  <si>
    <t>Dotacja FS II</t>
  </si>
  <si>
    <t>Zmiana zobowiązań inwestycyjnych</t>
  </si>
  <si>
    <t xml:space="preserve"> </t>
  </si>
  <si>
    <t>Wyszczególnienie</t>
  </si>
  <si>
    <t>A.</t>
  </si>
  <si>
    <t>Przepływy środków pieniężnych z działalności operacyjnej</t>
  </si>
  <si>
    <t>I.</t>
  </si>
  <si>
    <t xml:space="preserve"> Zysk (strata) netto</t>
  </si>
  <si>
    <t>II.</t>
  </si>
  <si>
    <t xml:space="preserve"> Korekty razem</t>
  </si>
  <si>
    <t>1.</t>
  </si>
  <si>
    <t xml:space="preserve"> Amortyzacja</t>
  </si>
  <si>
    <t>2.</t>
  </si>
  <si>
    <t xml:space="preserve"> Zyski (straty) z tytułu różnic kursowych</t>
  </si>
  <si>
    <t>3.</t>
  </si>
  <si>
    <t xml:space="preserve"> Odsetki i udziały w zyskach (dywidendy)</t>
  </si>
  <si>
    <t>4.</t>
  </si>
  <si>
    <t xml:space="preserve"> Zysk (strata) z działalności inwestycyjnej</t>
  </si>
  <si>
    <t>5.</t>
  </si>
  <si>
    <t xml:space="preserve"> Zmiana stanu rezerw</t>
  </si>
  <si>
    <t>6.</t>
  </si>
  <si>
    <t xml:space="preserve"> Zmiana stanu zapasów</t>
  </si>
  <si>
    <t>7.</t>
  </si>
  <si>
    <t xml:space="preserve"> Zmiana stanu należności</t>
  </si>
  <si>
    <t>8.</t>
  </si>
  <si>
    <t xml:space="preserve"> Zmiana stanu zobowiązań krótkoterminowych (z wyjątkiem</t>
  </si>
  <si>
    <t xml:space="preserve">Wykonanie spięcia w ul. Konfekcyjnej od posesji nr 16 do 12A oraz w ul Konfekcyjnej na wysokości skrzyżowania z ul. Grabowskiego do wysokości posesji nr 18 w ul. Grabowskiego, DN=100 mm, L=60 m </t>
  </si>
  <si>
    <t>Wykonanie spięcia w ul. Pałuckiej od ul. Moczyńskiego do ul. Steinborna, DN=100 mm, L=80m</t>
  </si>
  <si>
    <t>Wykonanie spięcia w ul. Sowińskiego od ul. Chłopickiego do ul. Sowińskiego (bocznej), DN=100, L=130m</t>
  </si>
  <si>
    <t>Wykonanie spięcia w ul. Urzędniczej od ul. Parkowej do wysokości posesji 4/8, DN=100 mm, L=70m</t>
  </si>
  <si>
    <t xml:space="preserve">Wykonanie spięcia w ul. Grabskiego na wysokości skrzyżowania z ul. Inowrocławską, DN=100 mm, L=30m                                                                            </t>
  </si>
  <si>
    <t>Cementowanie rurociągów między obiektowych na odcinku od zbiornika wyrównawczego wtórnego ozonowania do wysokości zbiornika wyrównawczego  DN=1200mm L=250m</t>
  </si>
  <si>
    <t>Wymiana wodociągu przy ulicy Długiej 47, 49 i 51 (odcinki na wysokości ul. Kaliskiego), DN=100mm,  L=266m</t>
  </si>
  <si>
    <t>Wymiana wodociągu w ul. Wybickiego na odcinku od ul. Wiązowej do Grudziądzkiej  DN=150mm L=490m</t>
  </si>
  <si>
    <t>Wymiana wodociągu przy ul. Legionów [przy bud. 171 i 173], DN=80mm, L=45m</t>
  </si>
  <si>
    <t>Wymiana wodociągu przy ulicy Łyskowskiego 3, DN=80mm, L=105m</t>
  </si>
  <si>
    <t>Wymiana wodociągu w ulicy Lubickiej na wysokości ul. Ligii Polskiej , DN=200mm , L=75m</t>
  </si>
  <si>
    <t>TABELA  NR  1 - WODOCIĄG - zakres rzeczowo – finansowy</t>
  </si>
  <si>
    <t>Budowa sieci wodociągowych na terenie OM Grębocin "Nad Strugą" , DN=100-150mm L=3800m</t>
  </si>
  <si>
    <t xml:space="preserve"> kredytów i pożyczek)</t>
  </si>
  <si>
    <t>9.</t>
  </si>
  <si>
    <t xml:space="preserve"> Zmiana stanu rozliczeń międzyokresowych </t>
  </si>
  <si>
    <t>10.</t>
  </si>
  <si>
    <t xml:space="preserve"> Inne korekty</t>
  </si>
  <si>
    <t>III.</t>
  </si>
  <si>
    <t>Przepływy pieniężne netto z działalności operacyjnej</t>
  </si>
  <si>
    <t>B.</t>
  </si>
  <si>
    <t>Przepływy środków pieniężnych z działalności inwestycyjnej</t>
  </si>
  <si>
    <t xml:space="preserve"> Wpływy</t>
  </si>
  <si>
    <t xml:space="preserve"> Zbycie wartości niematerialnych i prawnych oraz </t>
  </si>
  <si>
    <t xml:space="preserve"> rzeczowych aktywów trwałych</t>
  </si>
  <si>
    <t xml:space="preserve"> Zbycie inwestycji w nieruchom. oraz wart. niem. i prawne</t>
  </si>
  <si>
    <t xml:space="preserve"> Z aktywów finansowych</t>
  </si>
  <si>
    <t xml:space="preserve"> Inne wpływy inwestycyjne</t>
  </si>
  <si>
    <t xml:space="preserve"> Wydatki</t>
  </si>
  <si>
    <t xml:space="preserve"> Nabycie wartości niematerialnych i prawnych oraz </t>
  </si>
  <si>
    <t xml:space="preserve"> Inwestycje w nieruchomości oraz wartości niem. i prawne</t>
  </si>
  <si>
    <t xml:space="preserve"> Inne wydatki inwestycyjne</t>
  </si>
  <si>
    <t>Przepływy pieniężne netto z działalności inwestycyjnej</t>
  </si>
  <si>
    <t>C.</t>
  </si>
  <si>
    <t>Przepływy środków pieniężnych z działalności finansowej</t>
  </si>
  <si>
    <t xml:space="preserve"> Wpływy netto z wydania udziałów, innych instrumentow </t>
  </si>
  <si>
    <t xml:space="preserve"> kapitałowych oraz dopłat do kapitału</t>
  </si>
  <si>
    <t xml:space="preserve"> Emisja dłużnych papierów wartościowych</t>
  </si>
  <si>
    <t xml:space="preserve"> Inne wpływy finansowe</t>
  </si>
  <si>
    <t xml:space="preserve"> Nabycie udziałów własnych</t>
  </si>
  <si>
    <t xml:space="preserve"> Dywidendy i inne wypłaty na rzecz właścicieli</t>
  </si>
  <si>
    <t xml:space="preserve"> Inne wydatki z tytułu podziału zysku</t>
  </si>
  <si>
    <t xml:space="preserve"> Spłaty kredytów i pożyczek</t>
  </si>
  <si>
    <t xml:space="preserve"> Wykup dłużnych papierów wartościowych</t>
  </si>
  <si>
    <t xml:space="preserve"> Z tytułu innych zobowiązań finansowych</t>
  </si>
  <si>
    <t xml:space="preserve"> Płatność zobowiązań z tytułu leasingu finansowego</t>
  </si>
  <si>
    <t xml:space="preserve"> Odsetki</t>
  </si>
  <si>
    <t xml:space="preserve"> Inne wydatki finansowe</t>
  </si>
  <si>
    <t>Przepływy pieniężne netto z działalności finansowej</t>
  </si>
  <si>
    <t>D.</t>
  </si>
  <si>
    <t>Przepływy pieniężne netto razem</t>
  </si>
  <si>
    <t>E.</t>
  </si>
  <si>
    <t>Bilansowa zmiana stanu środków pieniężnych</t>
  </si>
  <si>
    <t>F.</t>
  </si>
  <si>
    <t xml:space="preserve"> Razem 2015-2018
i lata  następne             </t>
  </si>
  <si>
    <t>Spłata kredytu w rachunku bieżącym</t>
  </si>
  <si>
    <t>na sieci i urządzenia kanalizacyjne</t>
  </si>
  <si>
    <t>pozostałe inwestycje Spółki Toruńskie Wodociągi</t>
  </si>
  <si>
    <t>nakłady w tys. zł</t>
  </si>
  <si>
    <t>nakłady w tys zł</t>
  </si>
  <si>
    <t xml:space="preserve">WIELOLETNI PLAN INWESTYCJI TORUŃSKICH WODOCIĄGÓW SP. Z O.O. NA LATA 2015 - 2018 Z UWZGLĘDNIENIEM PRZEDSIĘWZIĘĆ NA LATA NASTĘPNE </t>
  </si>
  <si>
    <t>TABELA  3A / 1  - PROJEKT PLANOWANYCH ZMIAN W ZAKRESIE ZADAŃ KANALIZACJI DESZCZOWEJ REALIZOWANEJ PRZEZ TORUŃSKIE WODOCIĄGI SP. Z O.O. W LATACH 2015-2018 I LATACH NASTĘPNYCH WRAZ Z UZASADNIENIEM</t>
  </si>
  <si>
    <t>Środki pieniężne na początek okresu</t>
  </si>
  <si>
    <t>G.</t>
  </si>
  <si>
    <t>Wymiana wodociągu DN=300mm w ulicy Wybickiego [od Grudziądzkiej do Sz.Chełmińskiej] L=430m</t>
  </si>
  <si>
    <t>Wykonanie spięcia w ul. Korfantego od ulicy Domachowskiego do ul.Okopowej, DN=100 mm, L=20m</t>
  </si>
  <si>
    <t>Wymiana wodociągu w ul. Polnej na odcinku od ul. Szosa Chełmińska w kierunku ul. Okrężnej wraz z wymianą wodociągu na skrzyżowaniu Okrężnej i Polnej DN=150-250mm,  L=1100m</t>
  </si>
  <si>
    <t>RAZEM I</t>
  </si>
  <si>
    <t>RAZEM II</t>
  </si>
  <si>
    <t>Rewitalizacja/bagrowanie zbiornika wodnego na rzece Drwęca z poprawą stanu technicznego stopnia piętrzącego i nabrzeży.</t>
  </si>
  <si>
    <t>RAZEM III</t>
  </si>
  <si>
    <t>Rozbudowa budynku administracyjno - laboratoryjnego</t>
  </si>
  <si>
    <t>Modernizacja pompowni wody 2-go st. Stare Bielany przy ul. Józefa [kontynuacja zadania z lat ubiegłych]</t>
  </si>
  <si>
    <t>Budowa głównej bazy/zaplecza dla służb eksploatacyjnych na terenie COŚ</t>
  </si>
  <si>
    <t>Centrum Sterowania i Monitoringu Sieci Wodociągowej wraz z modernizacją Centrum Dyspozytorskiego</t>
  </si>
  <si>
    <t>Razem I (Proj. FS II)</t>
  </si>
  <si>
    <t>Wymiana wodociągu azbestocementowego w ul. Podgórskiej DN=100mm, L=140m</t>
  </si>
  <si>
    <t>Modernizacja serwerowni oraz sieci komputerowej</t>
  </si>
  <si>
    <t>Budowa sieci wodociągowej w ulicach Grzybowa i Borowikowa , DN=100mm,  L=140m</t>
  </si>
  <si>
    <t>Wymiana wodociągu w ul. Majdany, DN=100mm, L=500m</t>
  </si>
  <si>
    <t>Wymiana wodociągu w ul. Chrobrego, DN=100mm,   L=150m</t>
  </si>
  <si>
    <t>Wymiana wodociągu w ul. Łukasiewicza ,DN=100mm , L=100m</t>
  </si>
  <si>
    <t>Wymiana wodociągu w ulicach Brzechwy, Nałkowskiej i Makuszyńskiego,  DN=100mm,  L=565m</t>
  </si>
  <si>
    <t>Wymiana wodociągu w ul. Iwaszkiewicza i Willowej, DN=200 mm, L=453m</t>
  </si>
  <si>
    <t>Wymiana wodociągu w ulicy Al.Solidarności, L=230m, DN=150mm</t>
  </si>
  <si>
    <t>Wymiana wodociągu  PL. Teatralny,  DN=250mm,  L=25m</t>
  </si>
  <si>
    <t>Wykonanie spięcia w ul. Inowrocławskiej od posesji nr 20 z ul. Paderewskiego, DN=100 mm, L=60m</t>
  </si>
  <si>
    <t>Wykonanie spięcia w ul. Mohna od ul. Bartkiewiczówny do ul. Kaliskiego, DN=100 mm, L=120m</t>
  </si>
  <si>
    <t>Nazwa zadania</t>
  </si>
  <si>
    <t>Zakupy inwestycyjne</t>
  </si>
  <si>
    <t>Wymiana wodociągu w ul. Koniuchy DN=100mm  L=100m</t>
  </si>
  <si>
    <t>Renowacja magistral wodociągowych DN=1000mm L=4300m w ulicy Lubickiej od Olsztyńskiej do Studziennej i ul.Barwnej</t>
  </si>
  <si>
    <t>Budowa punktów szybkiego poboru wody dla PSP</t>
  </si>
  <si>
    <t>Budowa wodociągu w ulicy Olsztyńskiej DN=500mm L=20m</t>
  </si>
  <si>
    <t>Budowa sieci wodociągowej na terenie OM Stawki Północ [OM Łódzka-Strzałowa] DN=100mm L=1120m</t>
  </si>
  <si>
    <t>Budowa wodociągu w ulicach Chrzanowskiego i Na Zapleczu DN=100mm L=2400m</t>
  </si>
  <si>
    <t>Modernizacja Stacji Uzdatniania Wody "Drwęca - Jedwabno" (modernizacja gospodarki osadowej) Kontrakt K-2/W + (K-9/Up + K-11/U + K-13/U + K-14/U + pozostałe wydatki w udziale proporcjonalnym do wartości Kontraktu K-2/W)</t>
  </si>
  <si>
    <t>Modernizacja Stacji Uzdatniania Wody "Mała Nieszawka" Kontrakt K-3/W + (K-9/Up + K-11/U + K-13/U + K-14/U + pozostałe wydatki w udziale proporcjonalnym do wartości Kontraktu K-3/W)</t>
  </si>
  <si>
    <t>Budowa sieci wodociągowej na terenie osiedla mieszkaniowego: Pancernych, Bielawy i Kaszczorek w Toruniu Kontrakt K-4/W + (K-10/Up + K-12/U + K-13/U + K-14/U + pozostałe wydatki w udziale proporcjonalnym do wartości Kontraktu K-4/W)</t>
  </si>
  <si>
    <t>Budowa sieci wodociągowej na terenie osiedla mieszkaniowego Wrzosy i Torunia Południowego Kontrakt K-5/W + (K-10/Up + K-12/U + K-13/U + K-14/U + pozostałe wydatki w udziale proporcjonalnym do wartości Kontraktu K-5/W)</t>
  </si>
  <si>
    <t>Budowa wodociągu w ulicy Ciechocińskiej, DN=100mm, L=160m</t>
  </si>
  <si>
    <t>Budowa sieci wodociągowej w ulicach Calineczki i Kopciuszka DN=100mm L=400m</t>
  </si>
  <si>
    <t>FS/RPO</t>
  </si>
  <si>
    <t>Budowa alternatywnego zasilania w energię elektryczną dla Ujęcia Jedwabno, (zakres linia kablowa SN dł. 1,2 km, zakup transformatora)</t>
  </si>
  <si>
    <t>Ozonowania - zakup koncentratora, dodatkowy przewód tłoczny, projekt i montaż 3-go ozonatora</t>
  </si>
  <si>
    <t>9.2</t>
  </si>
  <si>
    <t>13.1</t>
  </si>
  <si>
    <t>13.2</t>
  </si>
  <si>
    <t>Dotacja GMT/EDF KS Wapienna</t>
  </si>
  <si>
    <t>Dotacja GMT/EDF KD Wapienna</t>
  </si>
  <si>
    <t>Rezerwa</t>
  </si>
  <si>
    <t>Gospodarka wodno - ściekowa na terenie aglomeracji Toruń - III etap</t>
  </si>
  <si>
    <t xml:space="preserve">II. BUDOWA SIECI KANALIZACYJNYCH </t>
  </si>
  <si>
    <t>III.   WYMIANA    I    MODERNIZACJA    SIECI     KANALIZACYJNYCH</t>
  </si>
  <si>
    <t>IV. MODERNIZACJA I BUDOWA URZĄDZEŃ  I OBIEKTÓW  GOSPODARKI ŚCIEKOWEJ</t>
  </si>
  <si>
    <t>Razem I+II+III+IV+V</t>
  </si>
  <si>
    <t>Uwagi/uzasadnienie zmian</t>
  </si>
  <si>
    <t xml:space="preserve"> Razem 2015-2018
i lata  następne po aktualizacji               </t>
  </si>
  <si>
    <r>
      <t xml:space="preserve">Przebudowa </t>
    </r>
    <r>
      <rPr>
        <b/>
        <sz val="10"/>
        <rFont val="Garamond"/>
        <family val="1"/>
        <charset val="238"/>
      </rPr>
      <t xml:space="preserve">ul. Rudackiej </t>
    </r>
    <r>
      <rPr>
        <sz val="10"/>
        <rFont val="Garamond"/>
        <family val="1"/>
        <charset val="238"/>
      </rPr>
      <t xml:space="preserve">(od ul. Dybowskiej do pętli autobusowej),
kanalizacja deszczowa </t>
    </r>
    <r>
      <rPr>
        <b/>
        <sz val="10"/>
        <rFont val="Garamond"/>
        <family val="1"/>
        <charset val="238"/>
      </rPr>
      <t xml:space="preserve">DN 300-800, L=1757 m
</t>
    </r>
    <r>
      <rPr>
        <sz val="10"/>
        <rFont val="Garamond"/>
        <family val="1"/>
        <charset val="238"/>
      </rPr>
      <t>[w tym:DN 800, L=182 m; DN 600, L=310 m;  DN 500, L=314 m;  DN 400,  L= 473 m;  DN 300, L= 478 m]</t>
    </r>
  </si>
  <si>
    <t>2016 plan 
po aktualizacji</t>
  </si>
  <si>
    <t>3a</t>
  </si>
  <si>
    <t>4a</t>
  </si>
  <si>
    <t>4b</t>
  </si>
  <si>
    <t>2015 plan
 po aktualizacji</t>
  </si>
  <si>
    <t>4c</t>
  </si>
  <si>
    <t>5a</t>
  </si>
  <si>
    <t>5b</t>
  </si>
  <si>
    <t>5c</t>
  </si>
  <si>
    <t>Porównanie obowiązującego planu przyjętego uchwałą RMT nr 626/13 z dnia 24 października 2013 r. z przedłożoną aktualizacją na lata 2015-2018</t>
  </si>
  <si>
    <t>Grupa zadań</t>
  </si>
  <si>
    <t>Tabela nr 1 - WODOCIĄG</t>
  </si>
  <si>
    <t>Tabela nr 2 - KANALIZACJA</t>
  </si>
  <si>
    <t>Plan</t>
  </si>
  <si>
    <t>obowiąz.</t>
  </si>
  <si>
    <t>w tys. zł</t>
  </si>
  <si>
    <t>aktualiz.</t>
  </si>
  <si>
    <t>I. BUDOWA I MODERNIZACJA SIECI KANALIZACYJNYCH: SANITARNEJ, OGÓLNOSPŁAWNEJ I DESZCZOWEJ ORAZ MODERNIZACJA GOSPODARKI OSADOWEJ NA CENTRALNEJ OCZYSZCZALNI ŚCIEKÓW W RAMACH PROJEKTU FUNDUSZU SPÓJNOŚCI - II ETAP.</t>
  </si>
  <si>
    <t>II. GOSPODARKA ŚCIEKOWA I ODNAWIALNE ŻRÓDŁA ENERGII NA TERENIE AGLOMERACJI TORUŃ - ZAKŁADANE DOFINASOWANIE ZE ŚRODKÓW UNIJNYCH</t>
  </si>
  <si>
    <t xml:space="preserve">III. BUDOWA SIECI KANALIZACYJNYCH </t>
  </si>
  <si>
    <t>IV.   WYMIANA    I    MODERNIZACJA    SIECI     KANALIZACYJNYCH</t>
  </si>
  <si>
    <t>V. MODERNIZACJA I BUDOWA URZĄDZEŃ  I OBIEKTÓW  GOSPODARKI ŚCIEKOWEJ</t>
  </si>
  <si>
    <t>VI. PRZYGOTOWANIE NOWYCH ZADAŃ INWESTYCYJNYCH ORAZ REZERWA ZWIĄZANE Z MODERNIZACJĄ, WYMIANĄ, BUDOWĄ, WYKUPAMI I USTANOWIENIEM SŁUŻEBNOŚCI DLA LOKALIZACJI  SIECI, URZĄDZEŃ I OBIEKTÓW KANALIZACYJNYCH</t>
  </si>
  <si>
    <t>Razem I+II+III+IV+V+VI+VII WODOCIĄG</t>
  </si>
  <si>
    <t>Razem I+II+III+IV+V+VI KANALIZACJA</t>
  </si>
  <si>
    <t>Razem I+II+III+IV+V KANALIZACJA</t>
  </si>
  <si>
    <t>Razem tabele WODOCIĄG i KANALIZACJA</t>
  </si>
  <si>
    <t>Tabela A</t>
  </si>
  <si>
    <t>I. GOSPODARKA ŚCIEKOWA NA TERENIE AGLOMERACJI TORUŃ - III ETAP (dofinansowanie z UE-FS 2007-2013; 2014-2020)</t>
  </si>
  <si>
    <t>I. GOSPODARKA WODNA NA TERENIE AGLOMERACJI TORUŃ - III ETAP (dofinansowanie z UE-FS 2007-2013; 2014-2020)</t>
  </si>
  <si>
    <t>III. BUDOWA MAGISTRALI WODCIĄGOWEJ POD RZEKĄ WISŁĄ -  (dofinansowanie z UE-RPO 2007-2013)</t>
  </si>
  <si>
    <t>Nakłady inwestycyjne w latach:</t>
  </si>
  <si>
    <t>lata</t>
  </si>
  <si>
    <t>następne</t>
  </si>
  <si>
    <t>na sieci i urządzenia wodociągowe</t>
  </si>
  <si>
    <t xml:space="preserve">na sieci i urządzenia kanalizacyjne </t>
  </si>
  <si>
    <t>13.3</t>
  </si>
  <si>
    <t>Budowa sieci wodociągowej dla potrzeb ogródków działkowych w ul.Poznańskiej DN=150mm, L=400m</t>
  </si>
  <si>
    <t>Wykonanie spięcia w ul.Idzikowskiego od Armii Ludowej w kierunku ul Hallera, DN=100mm, L=50m</t>
  </si>
  <si>
    <t>Budowa sieci wodociągowej celem podłączenia posesji przy ul. Mazowieckiej 25 a i 25 b (ok. 60+60 mb sieci wodociągowej)</t>
  </si>
  <si>
    <t>Wymiana wodociągu w ulicy Rudackiej, DN=100-200mm, L=300m</t>
  </si>
  <si>
    <t>13.4</t>
  </si>
  <si>
    <t>Wymiana przewodu wodociągowego w ul. Świętopełka na odcinku od ul. Pod Dębową Górą  do ul. Szczanieckiego, L=ok.333m, DN=100mm</t>
  </si>
  <si>
    <t xml:space="preserve">było Razem
2015-2018
i lata 
następne                          </t>
  </si>
  <si>
    <t>Budowa sieci wodociągowej na terenie OM Stawki Płd. II etap - obszar ograniczony ulicami: Stawki Południowe, Perkoza, Puchacza, Sowia, Łączna, Okólna, Tataraków, Sitowia, Trzcinowa i Bociana, DN=100 - 200 mm, L = 6 150 m ; III etap – obszar ograniczony ulicami Andersa, Sinoradzkiej, Okólną, Kutrzeby,  DN=100 - 300 mm, L = 2700 m ; IV etap w ulicach Okólnej i Łącznej , DN=100 mm, L=300 m (kontynuacja)</t>
  </si>
  <si>
    <t xml:space="preserve">Budowa sieci wodociągowej zasilającej awaryjnie osiedla Czerniewice </t>
  </si>
  <si>
    <t>Budowa sieci wodociągowej w ul. Freytaga DN=100mm , L=150m</t>
  </si>
  <si>
    <t>Budowa wodociągu w ul. Projektowanej CLXI w rejonie ul. Ukośnej , DN 100-50mm, L=380 m (odpłatne przejęcie).</t>
  </si>
  <si>
    <t>Wymiana wodociągu w ul. Okrężnej na odcinku od Łukasiewicza do Gagarina, DN=200, L=425 m</t>
  </si>
  <si>
    <t>10.21</t>
  </si>
  <si>
    <t>woda</t>
  </si>
  <si>
    <t>kanał</t>
  </si>
  <si>
    <t>lata następne</t>
  </si>
  <si>
    <t>Wymiana sieci wodociągowej w ul. Morcinka, DN=100mm, L=154m</t>
  </si>
  <si>
    <t>Wymiana sieci wodociągowej w ul Szosa Okrężna, DN=150mm, L=320m</t>
  </si>
  <si>
    <t>Wymiana sieci wodociągowej w ul. 4 Pułku Lotników, DN=100mm, L=300m</t>
  </si>
  <si>
    <t>Wymiana sieci wodociągowej w ul. Cedrowej, DN=100mm,L=533m</t>
  </si>
  <si>
    <t>Wymiana sieci wodociągowej, odgałęzienie od Cedrowej (po stronie południowej), DN=100mm, L=50m</t>
  </si>
  <si>
    <t>Wymiana sieci wodociągowej w ul. Palmowej (na północ od ul. Cedrowej), DN=100mm, L=80m</t>
  </si>
  <si>
    <t>Wymiana sieci wodociągowej w ul. Winnica, DN=100mm, L=64m</t>
  </si>
  <si>
    <t>Wymiana sieci wodociągowej w ul. Polnej (DSP II - NII) na wschód od ul. Kociewskiej, DN=300mm, L=306m</t>
  </si>
  <si>
    <t>Wymiana sieci wodociągowej w ul. Chrobrego (DSP I) od skrzyżowania Chrobrego - Mleczna, DN=250m, L=330m</t>
  </si>
  <si>
    <t>Wymiana sieci wodociągowej w ul. Mlecznej, DN=150mm, L=223m</t>
  </si>
  <si>
    <t>Wymiana sieci wodociągowej w ul. Chrobrego (przed skrzyżowaniem Chrobrego - Mleczna), DN=300mm, L=163m</t>
  </si>
  <si>
    <t>Wymiana sieci wodociągowej w ul. Żwirowej, DN=100mm, L=95m</t>
  </si>
  <si>
    <t>Budowa sieci wodociągowej dla potrzeb obszaru "Poznańska - Glinki" DN=150-250mm, L=1000m (zakres wynikający z koncepcji)</t>
  </si>
  <si>
    <t>Budowa wodociągu w ulicy Ciekawej , DN=100mm,  L=95m</t>
  </si>
  <si>
    <t>Budowa wodociągu w ul. Zakole, (OM Kaszczorek), DN=100 mm, L=150 m</t>
  </si>
  <si>
    <t>Budowa wodociągu w ulicy Cierpickiej i Przy Nasypie,  DN=100mm,  L=920m</t>
  </si>
  <si>
    <t>Budowa elektrowni fotowoltaicznej na terenie SUW Drwęca</t>
  </si>
  <si>
    <t>10.22</t>
  </si>
  <si>
    <t>10.23</t>
  </si>
  <si>
    <t>Budowa przewodu wodociągowego w ul. Kraińskiej (powyżej ul. Polnej) DN=-100 mm, L=166m</t>
  </si>
  <si>
    <t>13.5</t>
  </si>
  <si>
    <t>Wymiana wodociągu w ul. Kościuszki na odcinku od wiaduktu do ul. Łąkowej, DN=200mm, L=1370m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</si>
  <si>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</si>
  <si>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</si>
  <si>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</si>
  <si>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</si>
  <si>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</si>
  <si>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</si>
  <si>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</si>
  <si>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</si>
  <si>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</si>
  <si>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</si>
  <si>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10.36</t>
  </si>
  <si>
    <t>10.37</t>
  </si>
  <si>
    <t>6.1</t>
  </si>
  <si>
    <t>6.2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</si>
  <si>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</si>
  <si>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</si>
  <si>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</si>
  <si>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</si>
  <si>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</si>
  <si>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</si>
  <si>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</si>
  <si>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</si>
  <si>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</si>
  <si>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13.16</t>
  </si>
  <si>
    <t>13.17</t>
  </si>
  <si>
    <t>13.19</t>
  </si>
  <si>
    <t>13.20</t>
  </si>
  <si>
    <t>14.1</t>
  </si>
  <si>
    <t>14.2</t>
  </si>
  <si>
    <t>14.2.1</t>
  </si>
  <si>
    <t>14.2.2</t>
  </si>
  <si>
    <t>14.2.3</t>
  </si>
  <si>
    <t>14.2.4</t>
  </si>
  <si>
    <t>14.2.5</t>
  </si>
  <si>
    <t>14.2.7</t>
  </si>
  <si>
    <t>14.2.8</t>
  </si>
  <si>
    <t>14.2.9</t>
  </si>
  <si>
    <t>14.2.11</t>
  </si>
  <si>
    <t>14.2.12</t>
  </si>
  <si>
    <t>14.2.13</t>
  </si>
  <si>
    <t>15.1</t>
  </si>
  <si>
    <t>15.2</t>
  </si>
  <si>
    <t>15.3</t>
  </si>
  <si>
    <t>15.4</t>
  </si>
  <si>
    <t>Perspektywa 2014-2020</t>
  </si>
  <si>
    <t>RAZEM IV</t>
  </si>
  <si>
    <t>RAZEM VII</t>
  </si>
  <si>
    <t>Razem I+II+III+IV+V+VI+VII</t>
  </si>
  <si>
    <t>Renowacja magistral wodociągowych DN=1000mm L=10000m w technologii bezwykopowej (Kontrakt K-7/W) wraz z nadzorem Inżyniera Kontraktu (Kontrakt K-7/U)</t>
  </si>
  <si>
    <t>Budowa i modernizacja odnawialnych źródeł energii</t>
  </si>
  <si>
    <t>Ekologiczne udrożnienie węzła wodnego  przy wykorzystaniu potencjału energetycznego piętrzonej wody w ramach projektu Rewitalizacja / bagrowanie zbiornika wodnego na rzece Drwęcy wraz z poprawą stanu technicznego stopnia wodnego zlokalizowanego w miejscowości Lubicz Dolny w km 12+300 rzeki Drwęcy, Gmina Lubicz, Powiat Toruński</t>
  </si>
  <si>
    <t>Budowa sieci wodociągowej w ul. Krętej (nr 61a, 61b, 65a, 65b, 65c) DN=100mm, L=130m</t>
  </si>
  <si>
    <t>Wymiana sieci wodociągowej w ul. Chrobrego przy budynku Chrobrego 13-17, DN=100mm, L=50m</t>
  </si>
  <si>
    <t>Wymiana sieci wodociągowej w ul. Szosa Chełmińska 169-171, zasilanie USKOMu, DN=100mm, L=60m</t>
  </si>
  <si>
    <t>Wymiana sieci wodociągowej w ul. Armii Ludowej, przyłącze zasilające Centrum Szkolenia i Rekreacji Dzieci i Młodzieży, DN=100mm, L=26m</t>
  </si>
  <si>
    <t>Budowa magistrali wodociągowej DN=600mm na odcinku od SUW Mała Nieszawka do ul.Okrężnej L=~6000 m wraz z przebudową ul. Wodociągowej</t>
  </si>
  <si>
    <t>I. BUDOWA SIECI WODOCIĄGOWEJ ORAZ MODERNIZACJA STACJI UZDATNIANIA WODY W RAMACH PROJEKTU FUNDUSZU SPÓJNOŚCI - II ETAP</t>
  </si>
  <si>
    <t>Razem wydatki własne Spółki na kanalizację</t>
  </si>
  <si>
    <t xml:space="preserve"> Wodociąg</t>
  </si>
  <si>
    <t>Razem wydatki własne Spółki na wodociąg</t>
  </si>
  <si>
    <t>Razem IV+V+VI (bez Proj. FS II, RPO oraz Perspektywy 2014-2020)</t>
  </si>
  <si>
    <t xml:space="preserve"> Razem wydatki Spółki wraz z dofinansowaniem ze środków unijnych na wodociąg</t>
  </si>
  <si>
    <t>RAZEM V</t>
  </si>
  <si>
    <t>RAZEM  VI</t>
  </si>
  <si>
    <t>7.1</t>
  </si>
  <si>
    <t>7.2</t>
  </si>
  <si>
    <t>7.3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</si>
  <si>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</si>
  <si>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</si>
  <si>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</si>
  <si>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</si>
  <si>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</si>
  <si>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</si>
  <si>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</si>
  <si>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</si>
  <si>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</si>
  <si>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</si>
  <si>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11.12</t>
  </si>
  <si>
    <t>11.13</t>
  </si>
  <si>
    <t>11.14</t>
  </si>
  <si>
    <t>11.15</t>
  </si>
  <si>
    <t>11.16</t>
  </si>
  <si>
    <t>11.17</t>
  </si>
  <si>
    <t>11.18</t>
  </si>
  <si>
    <t>Wymiana wodociągu w ul. Polnej od ul. Grudziądzkiej do wysokości torów PKP, DN=300, L=70m</t>
  </si>
  <si>
    <t>Wykonanie spięcia wodociągu w ul. Mazowieckiej (na wysokości ul.  Iwanowa), DN=100 mm, L=ok. 50m</t>
  </si>
  <si>
    <t xml:space="preserve"> L.N.</t>
  </si>
  <si>
    <t xml:space="preserve"> Ogółem plan Spółki</t>
  </si>
  <si>
    <t>Ogółem wydatki własne Spółki</t>
  </si>
  <si>
    <t>wielkośc nakładów ustalona na podstawie zawartej umowy na realizację zadania</t>
  </si>
  <si>
    <t>uzasadnienie zaniechania budowy kolektora K1 zawiera informacja stanowiąca załącznik do aktualizacji WPI</t>
  </si>
  <si>
    <t>wielkośc nakładów ustalona na podstawie zawartej umowy na odpłatne przejęcie odcinka kanału</t>
  </si>
  <si>
    <t>zwiększenie rezerwy obejmuje zadania w ul. Łódzkiej (droga boczna), Hubego, ewentualne korekty wynikające z rozstrzygnięć przetargowych na realizację zadań w ul. Reja, Batorego i Pod Dębową Górą, oraz ewentualne roboty dodatkowe i uzupełniające.</t>
  </si>
  <si>
    <t>zwiększenie  wynika z niewykorzystania planowanych nakładów na rok 2014 wysokości 120 tys zł oraz wykorzystania planowanej rezerwy na rok 2015 wysokości 125 tys zł</t>
  </si>
  <si>
    <t>wielkość nakładów ustalona na podstawie zawartej umowy na realizację zadania</t>
  </si>
  <si>
    <t>wielość nakładów oszacowana w oparciu o wartość kosztorysu inwestorskiego x 0,7</t>
  </si>
  <si>
    <t xml:space="preserve">zadanie scalone z dwóch pozycji planu ze względu na wspólną realizację w ramach jednej umowy, wielkość nakładów oszacowana w oparciu o wartość kosztorysu inwestorskiego x 0,7 </t>
  </si>
  <si>
    <t xml:space="preserve">Zmniejszenie </t>
  </si>
  <si>
    <t xml:space="preserve">Zwiększenie </t>
  </si>
  <si>
    <t>RAZEM  IV</t>
  </si>
  <si>
    <t>V.   PRZYGOTOWANIE NOWYCH ZADAŃ INWESTYCYJNYCH ORAZ REZERWA ZWIĄZANE Z MODERNIZACJĄ, WYMIANĄ, BUDOWĄ, WYKUPAMI I USTANOWIENIEM SŁUŻEBNOŚCI DLA LOKALIZACJI  SIECI, URZĄDZEŃ I OBIEKTÓW KANALIZACYJNYCH</t>
  </si>
  <si>
    <t>II. BUDOWA ODNAWIALNYCH ŻRÓDEŁ ENERGII DLA UJECIA WODY I SUW DRWĘCA JEDWABNO (dofinansowanie z UE-FS 2014-2020)</t>
  </si>
  <si>
    <t>Razem II+III+IV+V (bez Proj. FS III)</t>
  </si>
  <si>
    <t>9.1</t>
  </si>
  <si>
    <t>metry</t>
  </si>
  <si>
    <t>dofinansowanie *</t>
  </si>
  <si>
    <t>III. BUDOWA MAGISTRALI WODCIĄGOWEJ POD RZEKĄ WISŁĄ - ZAKŁADANE DOFINANSOWANE ZE ŚRODKÓW RPO</t>
  </si>
  <si>
    <t>II. GOSPODARKA WODNA I ODNAWIALNE ŻRÓDŁA ENERGII NA TERENIE AGLOMERACJI TORUŃ - ZAKŁADANE DOFINASOWANIE ZE ŚRODKÓW UNIJNYCH</t>
  </si>
  <si>
    <t>T3</t>
  </si>
  <si>
    <t>suma</t>
  </si>
  <si>
    <t>razem 
z T3</t>
  </si>
  <si>
    <t xml:space="preserve">Budowa, wymiana, modernizacja sieci wodociągowych w ulicach modernizowanych przez MZD. </t>
  </si>
  <si>
    <t>Budowa sieci wodociągowej w ul. Artyleryjskiej w Toruniu, L=75m, DN=100mm</t>
  </si>
  <si>
    <t>Budowa wodociągu w ulicy Winnica (na terenie OM Winnica), DN=100mm L=2700m</t>
  </si>
  <si>
    <t>Budowa wodociągu w ulicy Kresowej, DN=100mm L=225m</t>
  </si>
  <si>
    <t>Budowa sieci wodociągowej na terenie OM Pancernych [ul.Twarda, Kołowa, Zakręt] , DN=100mm L=800m</t>
  </si>
  <si>
    <t xml:space="preserve">Budowa sieci wodociągowej w ul. Turkusowej i Ametystowej,  DN=100 mm, L=640 + 100 m </t>
  </si>
  <si>
    <t>Wymiana przewodu wodociągowego wraz z przyłączami w ul. Gagarina w Toruniu, DN=200mm, L=440m</t>
  </si>
  <si>
    <t>Wymiana przewodu wodociągowego na Placu Pokoju Toruńskiego wraz z jego ociepleniem, DN=100mm, L=23m</t>
  </si>
  <si>
    <t>Wymiana przewodu wysokiego ciśnienia  do hydroforni w Alei 700 lecia, DN 150mm,  L=112m</t>
  </si>
  <si>
    <t xml:space="preserve"> Razem 2015-2018
i lata następne                          </t>
  </si>
  <si>
    <t xml:space="preserve">Wymiana magistrali wodociągowej i przewodu rozdzielczego w ul. Grunwaldzkiej, DN=100 mm i 500mm,  L=600+200m                                                                                      </t>
  </si>
  <si>
    <t>Wykonanie spinek końcówek sieci wodociągowej na terenie miasta, DN=100 mm, L=ok. 970m</t>
  </si>
  <si>
    <t>Modernizacja sieci wodociągowej (budowa spinek końcówek sieci,  likwidacja nieczynnych odcinków sieci wod.) w następujących częściach miasta: Mokre, Stawki, Podgórz Chełmińskie Przedmieście, Jakubskie Przedmieście, Wrzosy  L=1345m , DN=100mm</t>
  </si>
  <si>
    <t>Wymiana sieci i przyłączy wodociągowych w następujących częściach miasta: Bielany, Mokre, Rubinkowo, Bydgoskie Przedmieście, Jakubskie Przedmieście, Podgórz, Chełmińskie Przedmieście, Stare Miasto, Rudak, Piaski; L=3 345m, DN=100-300mm</t>
  </si>
  <si>
    <t>Budowa sieci wodociągowych [uzupełnienie] na terenie pozostałych części miasta: Wrzosy, Rubinkowo, Stawki, Podgórz, Mokre, Grębocin, Winnica; L=8 298m, DN=100-300mm</t>
  </si>
  <si>
    <t>VI.   MODERNIZACJA  I BUDOWA URZĄDZEŃ  I  OBIEKTÓW   WODOCIĄGOWYCH</t>
  </si>
  <si>
    <t xml:space="preserve">Modernizacja oświetlenia zewnętrznego terenu SUW Drwęca </t>
  </si>
  <si>
    <t>Rozbudowa, modernizacja i wymiana elementów systemu gospodarki wodnej terenie aglomeracji Toruń</t>
  </si>
  <si>
    <t>WIELOLETNI PLAN INWESTYCJI TORUŃSKICH WODOCIĄGÓW SP. Z O.O. NA LATA 2013 - 2016 Z UWZGLĘDNIENIEM PRZEDSIĘWZIĘĆ NA LATA NASTĘPNE</t>
  </si>
  <si>
    <t xml:space="preserve">2013
</t>
  </si>
  <si>
    <t xml:space="preserve">2014
</t>
  </si>
  <si>
    <t xml:space="preserve">2015
</t>
  </si>
  <si>
    <t>Nazwa zadania wg budżetu MZD</t>
  </si>
  <si>
    <t>Nazwa zadania - Zakres robót</t>
  </si>
  <si>
    <t>Zakres rzeczowy</t>
  </si>
  <si>
    <t>Podstawa wyceny</t>
  </si>
  <si>
    <t>Razem
2013-2017                               p.c.  -  netto    [tys zł]</t>
  </si>
  <si>
    <t>Utrzymanie</t>
  </si>
  <si>
    <t>wg szacunków MZD</t>
  </si>
  <si>
    <t>Budowa i modernizacja dróg lokalnych</t>
  </si>
  <si>
    <t>Kanalizacja deszczowa  WD~40kpl</t>
  </si>
  <si>
    <t>Przejecie inwestycji  kd przez TW</t>
  </si>
  <si>
    <t>Suma nakładów TW</t>
  </si>
  <si>
    <t>Propozycja GMT</t>
  </si>
  <si>
    <t>Założenia TW</t>
  </si>
  <si>
    <t>Deficyt</t>
  </si>
  <si>
    <t>Nadwyżka środków TW</t>
  </si>
  <si>
    <t xml:space="preserve">Zaawansowanie realizacji zadania - proszę podać: 
- czy zostało przeprowadzone postępowanie przetargowe
- zaawansowanie prac budowlanych
- czas przewidziany na realizację zadania </t>
  </si>
  <si>
    <t>Lata następne</t>
  </si>
  <si>
    <t>ogółem</t>
  </si>
  <si>
    <t xml:space="preserve">Spółka </t>
  </si>
  <si>
    <t>kanalizacja deszczowa</t>
  </si>
  <si>
    <t>zakupy</t>
  </si>
  <si>
    <t>wynikowo pozostałe środki dyspozycyjne</t>
  </si>
  <si>
    <t xml:space="preserve">           Razem budowa kanalizacji deszczowej</t>
  </si>
  <si>
    <r>
      <rPr>
        <b/>
        <sz val="10"/>
        <rFont val="Garamond"/>
        <family val="1"/>
        <charset val="238"/>
      </rPr>
      <t xml:space="preserve">Inne </t>
    </r>
    <r>
      <rPr>
        <sz val="10"/>
        <rFont val="Garamond"/>
        <family val="1"/>
        <charset val="238"/>
      </rPr>
      <t>( w tym na ewentualne korekty wynikające z rozstrzygnięć przetargowych oraz ewentualne roboty dodatkowe i uzupełniające związane z realizacją zadań j.w.)</t>
    </r>
  </si>
  <si>
    <t>Wymiana sieci wodociągowych na terenie aglomeracji Toruń, DN=100-300mm, L=5950m</t>
  </si>
  <si>
    <t>Renowacja magistral wodociągowych na terenie aglomeracji Toruń, DN=1000-1200, L=4550m</t>
  </si>
  <si>
    <t>Budowa przewodu wodociągowego spinającego sieć miejską z wodociągiem lokalnym OM Czerniewice, DN=100-200mm, L=2300m</t>
  </si>
  <si>
    <t>Wymiana sieci wodociągowej wraz z przyłączami w ul. Olszynowej, DN=100mm, L=160m</t>
  </si>
  <si>
    <t>Wymiana sieci wodociągowej wraz z przyłączami w ul. Reja, DN=63-100mm, L=133m</t>
  </si>
  <si>
    <t>Wymiana wodociągu w ul. Kościuszki na odcinku od Chrobrego do Dworcowej, DN=200mm, L=400m, DN= 300 mm, L=45 m</t>
  </si>
  <si>
    <t>Budowa sieci wodociągowej na terenie OM pod Dębową Górą, DN=100mm, L=1060m</t>
  </si>
  <si>
    <t>Budowa sieci wodociągowej w ul. Grota Roweckiego, DN=200 mm, L=650m</t>
  </si>
  <si>
    <t>Budowa sieci wodociągowej w ul. Gen. Andersa w rejonie skrzyżowania z ul. Armii Ludowej, DN=300mm, L=100m + 143m</t>
  </si>
  <si>
    <t>Budowa wodociągu w ul. Hurynowicz, DN=150mm, L=130m</t>
  </si>
  <si>
    <t>Przygotowanie nowych zadań inwestycyjnych związanych z budową, modernizacją i wymianą sieci wodociągowej</t>
  </si>
  <si>
    <t>Budowa wodociągu w ulicy Rypińskiej,  DN=100mm, L=300m</t>
  </si>
  <si>
    <t>Renowacja magistral wodociągowych DN=1000mm, L=10000m w technologii bezwykopowej wraz z nadzorem Inżyniera Kontraktu</t>
  </si>
  <si>
    <t>Razem II (Proj. 2014-2020)</t>
  </si>
  <si>
    <t>Wykonanie spięcia ul.Koziej z ul.Słowiczą , DN=100mm , L=95m</t>
  </si>
  <si>
    <t>Wymiana wodociągu w ul. Akacjowa na odcinku od ul. Akacjowa do "Wieży Ciśnień" PKP,  DN=100mm, L=115m</t>
  </si>
  <si>
    <t>Wymiana wodociągu w ulicy Czerwona Droga,  DN=300mm, L=30m</t>
  </si>
  <si>
    <t>Wymiana wodociągu w ul. Warszawskiej , DN=200mm,  L=770m</t>
  </si>
  <si>
    <t>Wymiana wodociągu w ul Bielańskiej, DN=150mm, L=320m</t>
  </si>
  <si>
    <t>IV.   BUDOWA   SIECI     WODOCIĄGOWYCH</t>
  </si>
  <si>
    <t>Razem III (Projekt RPO)</t>
  </si>
  <si>
    <t>V.   WYMIANA    I    MODERNIZACJA    SIECI     WODOCIĄGOWYCH</t>
  </si>
  <si>
    <t>VII.   PRZYGOTOWANIE NOWYCH ZADAŃ INWESTYCYJNYCH ORAZ REZERWA ZWIĄZANE Z MODERNIZACJĄ, WYMIANĄ, BUDOWĄ, WYKUPAMI I USTANOWIENIEM SŁUŻEBNOŚCI DLA LOKALIZACJI  SIECI, URZĄDZEŃ I OBIEKTÓW WODOCIĄGOWYCH.</t>
  </si>
  <si>
    <t>Budowa sieci wodociągowej DN=200, L=720m w ul. Rypińskiej i DN=150 L=170m w ul. Otłoczyńskiej - część zadania polegającego na budowie sieci wodociągowych na terenie OM Rudak C, DN=100-200mm, L=2980m (kontynuacja)</t>
  </si>
  <si>
    <t>Budowa wodociągu w ul. Batorego (od ul. Pod Dębową Górą do ul. Polnej)</t>
  </si>
  <si>
    <t>Budowa wodociągu w ul. Bukowej, DN=100mm, L=230m</t>
  </si>
  <si>
    <t>Budowa wodociągu w ul. Husarskiej, DN=100mm, L=400m</t>
  </si>
  <si>
    <t>Wymiana przyłączy wodociągowych</t>
  </si>
  <si>
    <t>Ujęcia wody gruntowej - modernizacja, rozbudowa, likwidacja starych studni, budowa nowych wraz z wykonaniem obudów, zasilania energetycznego, budowa ogrodzeń i dróg dojazdowych, budowa piezometrów</t>
  </si>
  <si>
    <t>Rezerwa związana z modernizacją, wymianą, budową, wykupami i ustanowieniem służebności dla lokalizacji sieci, urządzeń i obiektów wodociągowych oraz przygotowaniem nowych zadań inwestycyjnych</t>
  </si>
  <si>
    <r>
      <t xml:space="preserve">Budowa kolektora deszczowego K1 </t>
    </r>
    <r>
      <rPr>
        <b/>
        <sz val="10"/>
        <rFont val="Garamond"/>
        <family val="1"/>
        <charset val="238"/>
      </rPr>
      <t>w ul. Chrobrego</t>
    </r>
    <r>
      <rPr>
        <sz val="10"/>
        <rFont val="Garamond"/>
        <family val="1"/>
        <charset val="238"/>
      </rPr>
      <t xml:space="preserve"> (od Pl. Pokoju Toruńskiego do Trasy Średnicowej),  </t>
    </r>
    <r>
      <rPr>
        <b/>
        <sz val="10"/>
        <rFont val="Garamond"/>
        <family val="1"/>
        <charset val="238"/>
      </rPr>
      <t>DN 1400, L=2160 m, DN 500-600, L=100 m; DN 200-300, L=440 m</t>
    </r>
    <r>
      <rPr>
        <sz val="10"/>
        <rFont val="Garamond"/>
        <family val="1"/>
        <charset val="238"/>
      </rPr>
      <t>;  podczyszczalnia ścieków deszczowych</t>
    </r>
  </si>
  <si>
    <r>
      <t xml:space="preserve">Budowa </t>
    </r>
    <r>
      <rPr>
        <b/>
        <sz val="10"/>
        <rFont val="Garamond"/>
        <family val="1"/>
        <charset val="238"/>
      </rPr>
      <t>Trasy Staromostowej,</t>
    </r>
    <r>
      <rPr>
        <sz val="10"/>
        <rFont val="Garamond"/>
        <family val="1"/>
        <charset val="238"/>
      </rPr>
      <t xml:space="preserve"> etap V: przebudowa Al. 700 lecia (od Pl. Niepodległości  przez węzeł Bema do Trasy Średnicowej Płn.; Zadanie: odcinek Bema - Trasa Średnicowa),
kanalizacja deszczowa DN 200-800, L=1 404 m
[w tym: DN 200, L=794 m; ; DN 300, L=229 m; DN 400, L=164 m; DN 500, L=181 m, dn 800, L=36]</t>
    </r>
  </si>
  <si>
    <r>
      <t xml:space="preserve">Budowa ul. </t>
    </r>
    <r>
      <rPr>
        <b/>
        <sz val="10"/>
        <rFont val="Garamond"/>
        <family val="1"/>
        <charset val="238"/>
      </rPr>
      <t>Pod Dębową Górą</t>
    </r>
    <r>
      <rPr>
        <sz val="10"/>
        <rFont val="Garamond"/>
        <family val="1"/>
        <charset val="238"/>
      </rPr>
      <t xml:space="preserve"> na odcinku od ul. Grudziądzkiej do ul. Towarowej - etap I
Budowa kolektora deszczowego w </t>
    </r>
    <r>
      <rPr>
        <b/>
        <sz val="10"/>
        <rFont val="Garamond"/>
        <family val="1"/>
        <charset val="238"/>
      </rPr>
      <t xml:space="preserve">ul. Batorego </t>
    </r>
    <r>
      <rPr>
        <sz val="10"/>
        <rFont val="Garamond"/>
        <family val="1"/>
        <charset val="238"/>
      </rPr>
      <t>na odcinku od ul. Pod Dębową Górą  do Trasy Średnicowej
DN 160-800,  L=745 m ;
[w tym: DN 800, L=186 m; DN 600, L=140 m , DN 300, L= 155 m; DN 200, L=84 m: DN 160, L=180m]</t>
    </r>
  </si>
  <si>
    <r>
      <t xml:space="preserve">Budowa kolektora deszczowego w </t>
    </r>
    <r>
      <rPr>
        <b/>
        <sz val="10"/>
        <rFont val="Garamond"/>
        <family val="1"/>
        <charset val="238"/>
      </rPr>
      <t xml:space="preserve">ul. Reja </t>
    </r>
    <r>
      <rPr>
        <sz val="10"/>
        <rFont val="Garamond"/>
        <family val="1"/>
        <charset val="238"/>
      </rPr>
      <t>na odcinku od ul. Broniewskiego do ul. Gagarina</t>
    </r>
    <r>
      <rPr>
        <b/>
        <sz val="10"/>
        <rFont val="Garamond"/>
        <family val="1"/>
        <charset val="238"/>
      </rPr>
      <t xml:space="preserve">
DN 200-800,  L= 594 m
</t>
    </r>
    <r>
      <rPr>
        <sz val="10"/>
        <rFont val="Garamond"/>
        <family val="1"/>
        <charset val="238"/>
      </rPr>
      <t>[w tym: DN 800, L=242 m; DN 400, L= 141 m; ; DN 200,  L=111 m]</t>
    </r>
  </si>
  <si>
    <t>Budowa Trasy Staromostowej, etap I : od drogi ekspresowej S-10 (węzeł Kluczyki) do Trasy Średnicowej Podgórza
kanalizacja deszczowa DN 300-600, L=1 424 m
[w tym: DN 300, L=672 m, DN 400, L=148 m, DN 500, L=395 m, DN 600, L=209 m, zbiornik retencyjny]</t>
  </si>
  <si>
    <t>Budowa sieci wodociągowej w ul. Równinnej DN=400mm, L=650m - część zadania pn. Budowa sieci wodociągowej w rejonie ulic Polnej - Równinnej - Morwowej, I etap</t>
  </si>
  <si>
    <t xml:space="preserve">Wykonanie spięcia w ul.Armii Ludowej na wysokości ul Hallera, DN=100, L=55 m                                                                                                                </t>
  </si>
  <si>
    <t>Ujęcie Jedwabno</t>
  </si>
  <si>
    <t>nakłady wg. kosztorysu inwestorskiego x 0,7, realizacja TW</t>
  </si>
  <si>
    <t>nakłady wg szacunków TW w oparciu o  Katalog cen jednostkowych robót i obiektów inwestycyjnych Bistyp (poziom cen III kwartał 2013), realizacja TW</t>
  </si>
  <si>
    <t>Razem
2014-2017 i lata następne</t>
  </si>
  <si>
    <t>2015 było</t>
  </si>
  <si>
    <t>2016 było</t>
  </si>
  <si>
    <t>Amortyzacja</t>
  </si>
  <si>
    <r>
      <t xml:space="preserve"> - istniejącego majątku</t>
    </r>
    <r>
      <rPr>
        <b/>
        <vertAlign val="superscript"/>
        <sz val="11"/>
        <rFont val="Arial"/>
        <family val="2"/>
        <charset val="238"/>
      </rPr>
      <t>1)</t>
    </r>
  </si>
  <si>
    <t xml:space="preserve"> - zwiększenia - inwestycje zakończone</t>
  </si>
  <si>
    <t>Amortyzacja zakończonych zadań</t>
  </si>
  <si>
    <t>Środków trwałych dotowanych</t>
  </si>
  <si>
    <t xml:space="preserve"> - wartość początkowa zakończonych:</t>
  </si>
  <si>
    <t xml:space="preserve"> - stawka amortyzacji</t>
  </si>
  <si>
    <t>Zakupy środków trwałych i WNiP</t>
  </si>
  <si>
    <t xml:space="preserve"> - wartość początkowa</t>
  </si>
  <si>
    <t>Budynki</t>
  </si>
  <si>
    <t>Środki trwałe pozostałe</t>
  </si>
  <si>
    <t>1) wartość dla majątku na koniec roku sporządzenia prognozy</t>
  </si>
  <si>
    <t>WIELOLETNI PLAN INWESTYCJI TORUŃSKICH WODOCIĄGÓW SP. Z O.O. NA LATA 2015 - 2023</t>
  </si>
  <si>
    <t>TABELA  3A  - SPECYFIKACJA ZADAŃ W ZAKRESIE KANALIZACJI DESZCZOWEJ REALIZOWANEJ PRZEZ TORUŃSKIE WODOCIĄGI SP. Z O.O. W LATACH 2015-2023</t>
  </si>
  <si>
    <t xml:space="preserve">Kanalizacja sanitarna i ogólnospławna </t>
  </si>
  <si>
    <t xml:space="preserve">Razem wydatki Spółki wraz z dofinansowaniem ze środków unijnych na kanalizację sanitarną i ogólnospławną </t>
  </si>
  <si>
    <t>Lata następne było</t>
  </si>
  <si>
    <t xml:space="preserve">Lata następne </t>
  </si>
  <si>
    <t>Budowa wodociągu w ulicy Kartuskiej/Płocka DN=100mm L=570m</t>
  </si>
  <si>
    <t>Wymiana wodociągu w ul. Broniewskiego na odcinku od ul. Reja do Sienkiewicza  DN=180mm L=790m</t>
  </si>
  <si>
    <t>Wymiana wodociągu w ul. Chrobrego na odcinku od ul. Kościuszki do posesji nr 20  DN=300mm L=367m</t>
  </si>
  <si>
    <t>nakłady szacowane w oparciu o Katalog cen jednostkowych robót i obiektów inwestycyjnych Bistyp (poziom cen III kwartał 2014)</t>
  </si>
  <si>
    <t>Pozostałe zadania budowy kanalizacji deszczowej - wydatki z tytułu rezerwy i zadań realizowanych po raz pierwszy w roku 2017 i latach następnych</t>
  </si>
  <si>
    <t>Wykup odcinka kanalizacji deszczowej od fundacji LUX VERITATIS</t>
  </si>
  <si>
    <r>
      <t xml:space="preserve">Przebudowa </t>
    </r>
    <r>
      <rPr>
        <b/>
        <sz val="10"/>
        <rFont val="Garamond"/>
        <family val="1"/>
        <charset val="238"/>
      </rPr>
      <t>ul. Łódzkiej</t>
    </r>
    <r>
      <rPr>
        <sz val="10"/>
        <rFont val="Garamond"/>
        <family val="1"/>
        <charset val="238"/>
      </rPr>
      <t xml:space="preserve">, (od ul. Andersa do ul. Lipnowskiej),
kanalizacja deszczowa </t>
    </r>
    <r>
      <rPr>
        <b/>
        <sz val="10"/>
        <rFont val="Garamond"/>
        <family val="1"/>
        <charset val="238"/>
      </rPr>
      <t>DN 200-315, L=1264 m</t>
    </r>
    <r>
      <rPr>
        <sz val="10"/>
        <rFont val="Garamond"/>
        <family val="1"/>
        <charset val="238"/>
      </rPr>
      <t xml:space="preserve">
[w tym: DN 200, L=609 m; DN 315, L=655 m]               </t>
    </r>
  </si>
  <si>
    <r>
      <t>Budowa kolektora deszczowego w</t>
    </r>
    <r>
      <rPr>
        <b/>
        <sz val="10"/>
        <rFont val="Garamond"/>
        <family val="1"/>
        <charset val="238"/>
      </rPr>
      <t xml:space="preserve"> ul. Batorego</t>
    </r>
    <r>
      <rPr>
        <sz val="10"/>
        <rFont val="Garamond"/>
        <family val="1"/>
        <charset val="238"/>
      </rPr>
      <t xml:space="preserve"> na odcinku od ul. Pod Dębową Górą  do Trasy Średnicowej
</t>
    </r>
    <r>
      <rPr>
        <b/>
        <sz val="10"/>
        <rFont val="Garamond"/>
        <family val="1"/>
        <charset val="238"/>
      </rPr>
      <t>DN 160-800,  L=212 m</t>
    </r>
    <r>
      <rPr>
        <sz val="10"/>
        <rFont val="Garamond"/>
        <family val="1"/>
        <charset val="238"/>
      </rPr>
      <t xml:space="preserve"> ;
[w tym: DN 800, L=186 m; DN 300, L= 30 m; DN 160 L=86m]</t>
    </r>
  </si>
  <si>
    <r>
      <t xml:space="preserve">Budowa kanalizacji deszczowej w ul. </t>
    </r>
    <r>
      <rPr>
        <b/>
        <sz val="10"/>
        <rFont val="Garamond"/>
        <family val="1"/>
        <charset val="238"/>
      </rPr>
      <t xml:space="preserve">Przelot </t>
    </r>
    <r>
      <rPr>
        <sz val="10"/>
        <rFont val="Garamond"/>
        <family val="1"/>
        <charset val="238"/>
      </rPr>
      <t>na odcinku od ul. Odległej do ul. Ciekawej, DN 200-1200 L=1300m [w tym: DN 200, L=350m; DN 300, L=10m, DN 400, L=300m, DN 500 L=430m, DN 800, L=210m, DN 1200, L=20m]</t>
    </r>
  </si>
  <si>
    <t>Wymiana wodociągu w ul. Danielewskiego DN=100mm L=200m</t>
  </si>
  <si>
    <t xml:space="preserve"> w ramach zadań Spółki poza:  Projektem FS III</t>
  </si>
  <si>
    <t>środki własne</t>
  </si>
  <si>
    <t>kredyty i pożyczki</t>
  </si>
  <si>
    <t>dotacje</t>
  </si>
  <si>
    <t xml:space="preserve">TABELA NR 4 - SCALONY ZAKRES RZECZOWO - FINANSOWY </t>
  </si>
  <si>
    <t xml:space="preserve">Modernizacja połączona ze zmianą dotychczasowej funkcji budynków mieszkalnego, gospodarczego, garażowego przy ul. Św. Józefa w kompleksie wodociągowym Stare Bielany </t>
  </si>
  <si>
    <t>WIELOLETNI PLAN ROZWOJU I MODERNIZACJI URZĄDZEŃ WODOCIĄGOWYCH I URZĄDZEŃ KANALIZACYJNYCH TORUŃSKICH WODOCIĄGÓW SP. Z O.O. NA LATA 2015 - 2023</t>
  </si>
  <si>
    <t>Razem 
2015-2023</t>
  </si>
  <si>
    <t>TABELA NR 1 - Wodociąg</t>
  </si>
  <si>
    <t xml:space="preserve"> Przygotowanie dokumentacji dla realizacji zadań w ramach Projektu
 "Gospodarka wodno-ściekowa na terenie aglomeracji Toruń - III etap"</t>
  </si>
  <si>
    <t>TABELA NR 2 - Kanalizacja</t>
  </si>
  <si>
    <t>Z-7/U Pomoc techniczna dla Z-1/W</t>
  </si>
  <si>
    <t>Z-7/U Pomoc techniczna dla Z-2/W</t>
  </si>
  <si>
    <t>Z-8/U Pomoc techniczna dla Z-3/W</t>
  </si>
  <si>
    <t>Z-8/U Pomoc techniczna dla Z-4/W</t>
  </si>
  <si>
    <t>Z-9/U Pomoc techniczna dla Z-5/W</t>
  </si>
  <si>
    <t>Z-9/U Pomoc techniczna dla Z-6/W</t>
  </si>
  <si>
    <t>Z-10/U Prowadzenie działań informacyjno-promocyjnych</t>
  </si>
  <si>
    <t>Z-11/U</t>
  </si>
  <si>
    <t>Zarządzanie projektem</t>
  </si>
  <si>
    <t>Koszty niekwalifikowane</t>
  </si>
  <si>
    <t>bez dokumentacji</t>
  </si>
  <si>
    <t>sprawdzenie</t>
  </si>
  <si>
    <t>kwalifikowane</t>
  </si>
  <si>
    <t>niekwalifikowane</t>
  </si>
  <si>
    <t>* zakładane współfinansowanie  projektu FS III 63,75 %</t>
  </si>
  <si>
    <t>wartość dokumentacji FS III należy dodać do amortyzacji środków trwałych dotowanych</t>
  </si>
  <si>
    <t>I. GOSPODARKA WODNA NA TERENIE AGLOMERACJI TORUŃ - III ETAP (dofinansowanie z UE-FS 2014-2020)</t>
  </si>
  <si>
    <t>I. GOSPODARKA ŚCIEKOWA NA TERENIE AGLOMERACJI TORUŃ - III ETAP (dofinansowanie z UE-FS 2014-2020)</t>
  </si>
  <si>
    <r>
      <t xml:space="preserve">Likwidacja osiedlowej oczyszczalni ścieków wraz z budową tłoczni ścieków,
kanału tłocznego i wodociągu do OM Czerniewice (sieć wodociągowa 
DN 80-200 o długości ok. 2,1 km) 
</t>
    </r>
    <r>
      <rPr>
        <b/>
        <sz val="8"/>
        <rFont val="Verdana"/>
        <family val="2"/>
        <charset val="238"/>
      </rPr>
      <t xml:space="preserve">Kontrakt Z-2/W </t>
    </r>
    <r>
      <rPr>
        <sz val="8"/>
        <rFont val="Verdana"/>
        <family val="2"/>
        <charset val="238"/>
      </rPr>
      <t>+ (Z-7/U Pomoc techniczna i Inżynier Kontraktu + 
Z-10/U Działania informacyjno-promocyjne + Z-11/U Opracowanie wniosku o dofinansowanie + pozostałe wydatki w udziale proporcjonalnym do wartości Kontraktu Z-2/W)</t>
    </r>
  </si>
  <si>
    <r>
      <t xml:space="preserve">Wymiana sieci kanalizacyjnej i sieci wodociągowej wraz z przyłączami na terenie miasta Torunia (wymiana ok. 11,3 km sieci wodociągowych 
DN 32-400 na Bydgoskim Przedmieściu, Bielanach, Chełmińskim Przedmieściu, Mokrym, Koniuchach, Rubinkowie i Winnicy)
</t>
    </r>
    <r>
      <rPr>
        <b/>
        <sz val="8"/>
        <rFont val="Verdana"/>
        <family val="2"/>
        <charset val="238"/>
      </rPr>
      <t>Kontrakt Z-3/W</t>
    </r>
    <r>
      <rPr>
        <sz val="8"/>
        <rFont val="Verdana"/>
        <family val="2"/>
        <charset val="238"/>
      </rPr>
      <t xml:space="preserve"> + (Z-8/U Pomoc techniczna i Inżynier Kontraktu + 
Z-10/U Działania informacyjno-promocyjne Z-11/U Opracowanie wniosku o dofinansowanie + pozostałe wydatki w udziale proporcjonalnym do wartości Kontraktu Z-3/W)</t>
    </r>
  </si>
  <si>
    <r>
      <t xml:space="preserve">Modernizacja Centralnej Oczyszczalni Ścieków w Toruniu
</t>
    </r>
    <r>
      <rPr>
        <b/>
        <sz val="8"/>
        <rFont val="Verdana"/>
        <family val="2"/>
        <charset val="238"/>
      </rPr>
      <t>Kontrakt Z-1/W</t>
    </r>
    <r>
      <rPr>
        <sz val="8"/>
        <rFont val="Verdana"/>
        <family val="2"/>
        <charset val="238"/>
      </rPr>
      <t xml:space="preserve"> + (Z-7/U Pomoc techniczna i Inżynier Kontraktu + 
Z-10/U Działania informacyjno-promocyjne + Z-11/U Opracowanie 
wniosku o dofinansowanie + pozostałe wydatki w udziale proporcjonalnym do wartości Kontraktu Z-1/W)</t>
    </r>
  </si>
  <si>
    <r>
      <t xml:space="preserve">Likwidacja osiedlowej oczyszczalni ścieków wraz z budową tłoczni ścieków,
kanału tłocznego i wodociągu do OM Czerniewice (kanalizacja sanitarna DN 110-400 o długości ok. 2,4 km)
</t>
    </r>
    <r>
      <rPr>
        <b/>
        <sz val="8"/>
        <rFont val="Verdana"/>
        <family val="2"/>
        <charset val="238"/>
      </rPr>
      <t>Kontrakt Z-2/W</t>
    </r>
    <r>
      <rPr>
        <sz val="8"/>
        <rFont val="Verdana"/>
        <family val="2"/>
        <charset val="238"/>
      </rPr>
      <t xml:space="preserve"> + (Z-7/U Pomoc techniczna i Inżynier Kontraktu + 
Z-10/U Działania informacyjno-promocyjne + Z-11/U Opracowanie 
wniosku o dofinansowanie + pozostałe wydatki w udziale proporcjonalnym do wartości Kontraktu Z-2/W)</t>
    </r>
  </si>
  <si>
    <r>
      <t xml:space="preserve">Wymiana sieci kanalizacyjnej i sieci wodociągowej wraz z przyłączami na terenie miasta Torunia (wymiana ok. 2,5 km sieci kanalizacyjnych 
DN 150-800 na Bielanach, Chełmińskim Przedmieściu, Mokrym, Rubinkowie i Wrzosach)
</t>
    </r>
    <r>
      <rPr>
        <b/>
        <sz val="8"/>
        <rFont val="Verdana"/>
        <family val="2"/>
        <charset val="238"/>
      </rPr>
      <t>Kontrakt Z-3/W</t>
    </r>
    <r>
      <rPr>
        <sz val="8"/>
        <rFont val="Verdana"/>
        <family val="2"/>
        <charset val="238"/>
      </rPr>
      <t xml:space="preserve"> + (Z-8/U Pomoc techniczna i Inżynier Kontraktu + 
Z-10/U Działania informacyjno-promocyjne + Z-11/U Opracowanie 
wniosku o dofinansowanie + pozostałe wydatki w udziale proporcjonalnym do wartości Kontraktu Z-3/W)</t>
    </r>
  </si>
  <si>
    <r>
      <t xml:space="preserve">Bezwykopowa modernizacja sieci kanalizacyjnej na terenie miasta Torunia (modernizacja ok. 11,5 km sieci DN 200-700/1100 na Bydgoskim Przedmieściu, Bielanach, Chełmińskim Przedmieściu, Starym Mieście, Mokrym, Rubinkowie i Na Skarpie)
</t>
    </r>
    <r>
      <rPr>
        <b/>
        <sz val="8"/>
        <rFont val="Verdana"/>
        <family val="2"/>
        <charset val="238"/>
      </rPr>
      <t>Kontrakt Z-4/W</t>
    </r>
    <r>
      <rPr>
        <sz val="8"/>
        <rFont val="Verdana"/>
        <family val="2"/>
        <charset val="238"/>
      </rPr>
      <t xml:space="preserve"> + (Z-8/U Pomoc techniczna i Inżynier Kontraktu + 
Z-10/U Działania informacyjno-promocyjne + Z-11/U Opracowanie 
wniosku o dofinansowanie + pozostałe wydatki w udziale proporcjonalnym do wartości Kontraktu Z-4/W)</t>
    </r>
  </si>
  <si>
    <r>
      <t xml:space="preserve">Modernizacja kolektora B w Toruniu (modernizacja ok. 5 km kolektora DN 600/900 - 2300/2300) 
</t>
    </r>
    <r>
      <rPr>
        <b/>
        <sz val="8"/>
        <rFont val="Verdana"/>
        <family val="2"/>
        <charset val="238"/>
      </rPr>
      <t>Kontrakt Z-5/W</t>
    </r>
    <r>
      <rPr>
        <sz val="8"/>
        <rFont val="Verdana"/>
        <family val="2"/>
        <charset val="238"/>
      </rPr>
      <t xml:space="preserve"> + (Z-9/U Pomoc techniczna i Inżynier Kontraktu + 
Z-10/U Działania informacyjno-promocyjne + Z-11/U Opracowanie 
wniosku o dofinansowanie + pozostałe wydatki w udziale proporcjonalnym do wartości Kontraktu Z-5/W)</t>
    </r>
  </si>
  <si>
    <r>
      <t xml:space="preserve">Rozdział kanalizacji ogólnospławnej - budowa kolektora deszczowego K-I w ul. Chrobrego w Toruniu (kanał ok. 2,2 km DN 1400)
</t>
    </r>
    <r>
      <rPr>
        <b/>
        <sz val="8"/>
        <rFont val="Verdana"/>
        <family val="2"/>
        <charset val="238"/>
      </rPr>
      <t>Kontrakt Z-6/W</t>
    </r>
    <r>
      <rPr>
        <sz val="8"/>
        <rFont val="Verdana"/>
        <family val="2"/>
        <charset val="238"/>
      </rPr>
      <t xml:space="preserve"> + (Z-9/U Pomoc techniczna i Inżynier Kontraktu + 
Z-10/U Działania informacyjno-promocyjne + Z-11/U Opracowanie 
wniosku o dofinansowanie + pozostałe wydatki w udziale proporcjonalnym do wartości Kontraktu Z-6/W)</t>
    </r>
  </si>
  <si>
    <t>ogółem 2026-2022</t>
  </si>
  <si>
    <t>projekt</t>
  </si>
  <si>
    <t>wapienna</t>
  </si>
  <si>
    <t>dokumnetacja FS III</t>
  </si>
  <si>
    <t>Dotacja FS III</t>
  </si>
  <si>
    <t xml:space="preserve">Budowa odgałęzień bocznych od kanalizacji sanitarnej oraz zwrot nakładów poniesionych przez indywidualnych usługobiorców DN 160-200 </t>
  </si>
  <si>
    <r>
      <t>Budowa kolektora kanalizacji sanitarnej z Toporzyska do Górska oraz magistrali wodociągowej z Przysieka do Złejwsi Wielkiej,</t>
    </r>
    <r>
      <rPr>
        <sz val="8"/>
        <rFont val="Verdana"/>
        <family val="2"/>
        <charset val="238"/>
      </rPr>
      <t xml:space="preserve"> (magistrala wodociągowa DN 200, L= 20 000 m, kanalizacja tłoczna DN 200, L= 15 500m) </t>
    </r>
  </si>
  <si>
    <r>
      <t xml:space="preserve">Budowa magistrali wodociągowej z Czerniewic do Ciechocinka, </t>
    </r>
    <r>
      <rPr>
        <sz val="8"/>
        <rFont val="Verdana"/>
        <family val="2"/>
        <charset val="238"/>
      </rPr>
      <t>(magistrala wodociągowa DN 315, 
L=ok. 12 340m )</t>
    </r>
  </si>
  <si>
    <r>
      <t xml:space="preserve">Budowa sieci wodociągowej i kanalizacyjnej dla Gminy Obrowo, </t>
    </r>
    <r>
      <rPr>
        <sz val="8"/>
        <rFont val="Verdana"/>
        <family val="2"/>
        <charset val="238"/>
      </rPr>
      <t>(magistrala wodociągowa DN 200; L=13 400 m, kanalizacja sanitarna DN 200,   L=20 100 m)</t>
    </r>
  </si>
  <si>
    <t>środki własne TW</t>
  </si>
  <si>
    <t>nazwa zadania</t>
  </si>
  <si>
    <t>wartość dokumentacji</t>
  </si>
  <si>
    <t>pożyczka 
WFOŚiGW</t>
  </si>
  <si>
    <t>pożyczka
 WFOŚiGW</t>
  </si>
  <si>
    <t>1. tabele do WPI</t>
  </si>
  <si>
    <t>2. Tabele do planu modernizacji</t>
  </si>
  <si>
    <t>FS/
inne</t>
  </si>
  <si>
    <t>Tabela, korekta po uwagach BEiNW 09-11-2016</t>
  </si>
  <si>
    <t>a)</t>
  </si>
  <si>
    <t>Razem 2016-2023</t>
  </si>
  <si>
    <t>FS/inne</t>
  </si>
  <si>
    <t>A</t>
  </si>
  <si>
    <t>Zmiana</t>
  </si>
  <si>
    <t>Plan wg. aktualiz. - obowiąz.</t>
  </si>
  <si>
    <t>B</t>
  </si>
  <si>
    <t>II. BUDOWA SIECI KANALIZACYJNYCH</t>
  </si>
  <si>
    <t>C</t>
  </si>
  <si>
    <t>Załącznik C - tabela</t>
  </si>
  <si>
    <t>Tabela nr 3 - POZOSTAŁE INWESTYCJE SPÓŁKI TORUŃSKIE WODOCIĄGI</t>
  </si>
  <si>
    <t>Modernizacja połączona ze zmianą dotychczasowej funkcji budynków mieszkalnego, gospodarczego, garażowego przy ul. Św. Józefa w kompleksie wodociągowym Stare Bielany .</t>
  </si>
  <si>
    <t>Zadanie</t>
  </si>
  <si>
    <t xml:space="preserve">Budowa kolektora kanalizacji sanitarnej z Toporzyska do Górska oraz magistrali wodociągowej z Przysieka do Złejwsi Wielkiej, (magistrala wodociągowa DN 200, L= 20 000 m, kanalizacja tłoczna DN 200, L= 15 500m) </t>
  </si>
  <si>
    <t>Budowa magistrali wodociągowej z Czerniewic do Ciechocinka, (magistrala wodociągowa DN 315, L=ok. 12 000m )</t>
  </si>
  <si>
    <t>Budowa sieci wodociągowej i kanalizacyjnej dla Gminy Obrowo, (magistrala wodociągowa DN 200; L=13 400 m, kanalizacja sanitarna DN 200,   L=20 100 m)</t>
  </si>
  <si>
    <t>inne</t>
  </si>
  <si>
    <t xml:space="preserve">Budowa sieci wodociągowej i kanalziacyjnej dla Gminy Zławieś Wielka, (magistrala wodociągowa DN 200, L= 20 000 m, kanalizacja tłoczna DN 200, L= 23 000m) </t>
  </si>
  <si>
    <t>Budowa magistrali wodociągowej z Torunia do Ciechocinka, (magistrala wodociągowa DN 315, L=ok. 12 340m )</t>
  </si>
  <si>
    <t>Razem poz. 1, 3, 5, 7, 9, 11</t>
  </si>
  <si>
    <t>Razem poz. 2, 4, 6, 8, 10</t>
  </si>
  <si>
    <t>w tym plan dot. kanalizacji deszczowej wg. aktualiz. - obowiąz.</t>
  </si>
  <si>
    <t>w tym plan dot. innych gmin wg. aktualiz. - obowiąz.</t>
  </si>
  <si>
    <t>Załącznik D</t>
  </si>
  <si>
    <t>- kanalizacja deszczowa - kontrakt Z-6/W</t>
  </si>
  <si>
    <t>Różnica 1-2</t>
  </si>
  <si>
    <t>1. Planowane inwestycje</t>
  </si>
  <si>
    <t>Środki pieniężne na koniec roku</t>
  </si>
  <si>
    <t>Zmiana środków pieniężnych</t>
  </si>
  <si>
    <t>Środki pieniężne na początku roku</t>
  </si>
  <si>
    <t>Toruńskie Wodociągi - zbiorcze ujęcie planu inwestycyjnego 2016-2023</t>
  </si>
  <si>
    <t>A. Wodociąg, w tym:</t>
  </si>
  <si>
    <t>B. Kanalizacja sanitarna i ogólnospławna, w tym:</t>
  </si>
  <si>
    <t>C. Pozostałe inwestycje, w tym:</t>
  </si>
  <si>
    <t>1) projekt unijny etap III</t>
  </si>
  <si>
    <t>2) poza projektem unijnym</t>
  </si>
  <si>
    <t>1) projekt unijny etap III, w tym:</t>
  </si>
  <si>
    <t>1) kanalizacja deszczowa poza projektem unijnym</t>
  </si>
  <si>
    <t>2) inne inwestycje</t>
  </si>
  <si>
    <t>D. Razem: A+B+C</t>
  </si>
  <si>
    <t>A. Działalność operacyjna, w tym:</t>
  </si>
  <si>
    <t>B. Wpływy z kredytów i pożyczek</t>
  </si>
  <si>
    <t>C. Dotacje unijne i EDF</t>
  </si>
  <si>
    <t>D. Spłaty kredytów i pożyczek z odsetkami</t>
  </si>
  <si>
    <t>2. Źródła finansowania A+B+C</t>
  </si>
  <si>
    <t>1) zysk netto</t>
  </si>
  <si>
    <t>2) amortyzacja</t>
  </si>
  <si>
    <t>3) inne korekty</t>
  </si>
  <si>
    <t>3. Różnica: 2.-1.</t>
  </si>
  <si>
    <t>Toruńskie Wodociągi - zbiorcze ujęcie planu inwestycyjnego 2016-2023 ze źródłami finansowania</t>
  </si>
  <si>
    <t>B. Kanalizacja, w tym:</t>
  </si>
  <si>
    <t>C. Dotacje unijne i umowa z EDF</t>
  </si>
  <si>
    <t>4. Środki pieniężne na początku roku</t>
  </si>
  <si>
    <t>6. Środki pieniężne na koniec roku [4.+5.]</t>
  </si>
  <si>
    <t>5. Zmiana środków pieniężnych [3.]</t>
  </si>
  <si>
    <t>2. Źródła finansowania A.+B.+C.+D.</t>
  </si>
  <si>
    <t>D. Razem: A.+B.+C., w tym:</t>
  </si>
  <si>
    <t>- kanalizacja deszczowa z kontraktem Z-6/W</t>
  </si>
  <si>
    <t>1) kanalizacja deszczowa poza projektem unijnym (MZD w Toruniu)</t>
  </si>
  <si>
    <t>sieć wodociągowa</t>
  </si>
  <si>
    <t>przygotowanie inwestycji</t>
  </si>
  <si>
    <t xml:space="preserve">razem całość do zapłaty przez Toruńskie Wodociągi </t>
  </si>
  <si>
    <t>brutto złotych</t>
  </si>
  <si>
    <t>Dane z MZD w Toruniu z dnia 20 grudnia 2016 r., Pani Mirosława Kwiatkowska</t>
  </si>
  <si>
    <t>netto w złotych</t>
  </si>
  <si>
    <t>VAT 23%</t>
  </si>
  <si>
    <t>TW netto kanalizacja deszczowa + przygotowanie inwestycji w zł</t>
  </si>
  <si>
    <t>Dwernickiego etap I - całość dotyczy Wienerberger Ceramika Budowlana w zakresie 180 m kanaliz. deszcz.</t>
  </si>
  <si>
    <t>ŁUBIANKA</t>
  </si>
  <si>
    <t>Pozostałe inwestycje :
- Modernizacja i zmiana funkcji budynków przy ul. Św. Józefa w kompleksie wodociągowym Stare Bielany
- Budowa kolektora kanalizacji sanitarnej z Toporzyska do Górska oraz magistrali wodociągowej z Przysieka do Górska
- Budowa magistrali wodociągowej z Czerniewic do Ciechocinka
- Budowa sieci wodociągowej i kanalizacyjnej dla Gminy Obrowo
- Budowa wodociągu na terenie SUW Drwęca (dla Gminy Lubicz), DN 100, L=600 m 
- Łubianka</t>
  </si>
  <si>
    <t>dokumentacja FS III</t>
  </si>
  <si>
    <r>
      <rPr>
        <b/>
        <sz val="10"/>
        <rFont val="Times New Roman"/>
        <family val="1"/>
        <charset val="238"/>
      </rPr>
      <t>Uwaga: w wierszu dotacje ujęto:</t>
    </r>
    <r>
      <rPr>
        <sz val="10"/>
        <rFont val="Times New Roman"/>
        <family val="1"/>
        <charset val="238"/>
      </rPr>
      <t xml:space="preserve">
- dotacje na FS III w wysokości: 71 470 tys. Zł
- dotacje na Abisynię w wysokości: 854 tys. Zł</t>
    </r>
  </si>
  <si>
    <r>
      <rPr>
        <b/>
        <sz val="10"/>
        <rFont val="Times New Roman"/>
        <family val="1"/>
        <charset val="238"/>
      </rPr>
      <t>Uwaga: w wierszu kredyty i pożyczki ujęto:</t>
    </r>
    <r>
      <rPr>
        <sz val="10"/>
        <rFont val="Times New Roman"/>
        <family val="1"/>
        <charset val="238"/>
      </rPr>
      <t xml:space="preserve">
- pożyczkę z NFOŚiGW na pokrycie wkładu własnego dla Projektu FS III (2017 -  realna wartość do zawnioskowania, lata 2018-2020: wkład własny - niekwalifikowane, 2021 - zgodnie z zapotrzebowaniem (tj. - 10 mln zł)
- pożyczkę z WFOŚiGW na inwestycje poza terenem miasta Torunia: Zławieś Wielka, Ciechocinek,  Obrowo, Łubianka</t>
    </r>
  </si>
  <si>
    <r>
      <rPr>
        <b/>
        <sz val="10"/>
        <rFont val="Arial CE"/>
        <charset val="238"/>
      </rPr>
      <t xml:space="preserve">Uwaga: </t>
    </r>
    <r>
      <rPr>
        <sz val="10"/>
        <rFont val="Arial CE"/>
        <charset val="238"/>
      </rPr>
      <t xml:space="preserve">
1. w wierszu kredyty i pożyczki ujęto tylko pożyczkę na wkład własny na FS III
2. w wierszu dotacje ujęto tylko dotacje na FS III i dotacje na Abisynie (tylko na wodę i kanał bez dotacji na kanalizację deszczową z T3)</t>
    </r>
  </si>
  <si>
    <t>`</t>
  </si>
  <si>
    <t>Lata</t>
  </si>
  <si>
    <t>Przebudowa kolektora deszczowego K-2 przy moście im. Zawackiej w Toruniu</t>
  </si>
  <si>
    <t>Budowa sieci kanalizacyjnej w ul. Kraińskiej (na północ od ul. Polnej), DN 200, L=160m</t>
  </si>
  <si>
    <t xml:space="preserve">Razem </t>
  </si>
  <si>
    <t>było</t>
  </si>
  <si>
    <t>jest</t>
  </si>
  <si>
    <t>brutto</t>
  </si>
  <si>
    <t>netto</t>
  </si>
  <si>
    <t>zaokr.</t>
  </si>
  <si>
    <t xml:space="preserve"> w ramach zadań Spółki poza: Projektem FS III</t>
  </si>
  <si>
    <t xml:space="preserve"> w ramach zadań Spółki  poza: Projektem FS III</t>
  </si>
  <si>
    <t xml:space="preserve">Pozostałe inwestycje Toruńskich Wodociągów Sp. z o.o. </t>
  </si>
  <si>
    <t xml:space="preserve">Ogółem dofinansowanie zadań Spółki </t>
  </si>
  <si>
    <t xml:space="preserve"> Na aktywa finansowe, w tym:</t>
  </si>
  <si>
    <t>TABELA NR …</t>
  </si>
  <si>
    <t>FINANSOWANIE INWESTYCJI TW W LATACH 2018-2023</t>
  </si>
  <si>
    <t>Kredyty i pożyczki</t>
  </si>
  <si>
    <t>Dotacje</t>
  </si>
  <si>
    <t>Nakłady inwestycjne projekt FS III</t>
  </si>
  <si>
    <t>1a</t>
  </si>
  <si>
    <t>Wkład własny (II.1 - II.2 - II.3) finansowane z I.</t>
  </si>
  <si>
    <t>IV.</t>
  </si>
  <si>
    <t>Wkład własny (III.1 - III.2) finansowane z I.</t>
  </si>
  <si>
    <t>Wkład własny (IV.1 - IV.2) finansowane z I.</t>
  </si>
  <si>
    <t>Nakłady inwestycjne</t>
  </si>
  <si>
    <r>
      <t xml:space="preserve">WYDATKI (WYPŁYWY) </t>
    </r>
    <r>
      <rPr>
        <b/>
        <sz val="10"/>
        <rFont val="Arial CE"/>
        <charset val="238"/>
      </rPr>
      <t>projekt FS</t>
    </r>
  </si>
  <si>
    <t>STAN ŚRODKÓW I WPŁYWY</t>
  </si>
  <si>
    <t>V.</t>
  </si>
  <si>
    <r>
      <t xml:space="preserve">WYDATKI (WYPŁYWY) </t>
    </r>
    <r>
      <rPr>
        <b/>
        <sz val="10"/>
        <rFont val="Arial CE"/>
        <charset val="238"/>
      </rPr>
      <t>zadania TW komercja i inne</t>
    </r>
  </si>
  <si>
    <t>WYDATKI (WYPŁYWY) zadania powierzone przez GMT (deszczówka)</t>
  </si>
  <si>
    <t>Środki pieniężne pozostałe po projekcie FS</t>
  </si>
  <si>
    <t>Środki pieniężne pozostałe po zadania TW poza projektem FS</t>
  </si>
  <si>
    <t>Środki pieniężne pozostałe po zadaniach z pkt II. III. IV</t>
  </si>
  <si>
    <t>Zysk</t>
  </si>
  <si>
    <t>Zmiany stanu aktywów i pasywów, odsetki</t>
  </si>
  <si>
    <t>Spłata kredytów i pożyczek, odsetki</t>
  </si>
  <si>
    <t>Środki pieniężne pozostałe w Spółce po obsłudze zadłużenia</t>
  </si>
  <si>
    <t>Nakłady</t>
  </si>
  <si>
    <r>
      <t xml:space="preserve">WYDATKI (WYPŁYWY) </t>
    </r>
    <r>
      <rPr>
        <b/>
        <sz val="10"/>
        <rFont val="Arial CE"/>
        <charset val="238"/>
      </rPr>
      <t>zadania TW poza projektem FS (!!!)</t>
    </r>
  </si>
  <si>
    <t>Kredyty i pożyczki - zaciągnięcie</t>
  </si>
  <si>
    <t>Kredyty i pożyczki - spłata</t>
  </si>
  <si>
    <t>Środki pieniężne pozostałe w Spółce</t>
  </si>
  <si>
    <t>Budowa kanalizacji deszczowej na terenie miasta Torunia</t>
  </si>
  <si>
    <t>Budowa kanalizacji deszczowej ul. Kraińskiej, od ul. Wielki Rów do końca zabudowy,  DN 200-500, L= 326 m</t>
  </si>
  <si>
    <t>Razem pozostałe inwestycje Spółki Toruńskie Wodociągi</t>
  </si>
  <si>
    <t xml:space="preserve">TABELA NR 3 POZOSTAŁE  INWESTYCJE  SPÓŁKI  TORUŃSKIE  WODOCIĄGI  </t>
  </si>
  <si>
    <t>TABELA NR 4 - SCALONY ZAKRES RZECZOWO - FINANSOWY</t>
  </si>
  <si>
    <t>WODOCIĄG - wydatki ogółem w latach, w tym:</t>
  </si>
  <si>
    <t>- dofinansowanie</t>
  </si>
  <si>
    <t>- kredyty i pożyczki</t>
  </si>
  <si>
    <t>- środki własne Spółki</t>
  </si>
  <si>
    <t>KANALIZACJA - wydatki ogółem w latach, w tym:</t>
  </si>
  <si>
    <t>POZOSTAŁE INWESTYCJE - wydatki ogółem w latach, w tym:</t>
  </si>
  <si>
    <t>Modernizacja budynków przy ul. Św. Józefa</t>
  </si>
  <si>
    <t>Kanalizacja deszczowa w Toruniu</t>
  </si>
  <si>
    <t>D</t>
  </si>
  <si>
    <t>RAZEM [1+2+3] - wydatki ogółem w latach, w tym:</t>
  </si>
  <si>
    <t>Sieci do innych gmin, w tym:</t>
  </si>
  <si>
    <t>stacja Ciechocinek</t>
  </si>
  <si>
    <t>stacja Czerniewice</t>
  </si>
  <si>
    <t>przewiert</t>
  </si>
  <si>
    <t>Budowa kanału sanitarnego ul. Fromborskiej DN 500/700, L=230 m</t>
  </si>
  <si>
    <t>Budowa sieci kanalizacyjnej  w ul. Dwernickiego wraz z odgałęzieniami do PSZOK, DN 160-200, L= 380 m</t>
  </si>
  <si>
    <t>Wymiana (przebudowa) i modernizacja sieci i urządzeń</t>
  </si>
  <si>
    <t>Środki trwałe pozostałe - BUDOWA   SIECI   KANALIZACYJNYCH</t>
  </si>
  <si>
    <t>Środki trwałe pozostałe - bez budynku</t>
  </si>
  <si>
    <t>Pożyczka FS III (z NFOŚiGW)</t>
  </si>
  <si>
    <t>Kredyt FS II (MILLENNIUM)</t>
  </si>
  <si>
    <t xml:space="preserve">1881 niekwal. </t>
  </si>
  <si>
    <t>z-2</t>
  </si>
  <si>
    <t>z-3</t>
  </si>
  <si>
    <t>z-1</t>
  </si>
  <si>
    <t>z-5</t>
  </si>
  <si>
    <t>Jedwabno - wiercenie otworów, podłączenie studni</t>
  </si>
  <si>
    <t>24169 do zdjęcia</t>
  </si>
  <si>
    <t>Wymiana sprzętu i urządzeń do utrzymania istniejących i nowych sieci kanalizacyjnych</t>
  </si>
  <si>
    <t>Budowa sieci kanalizacyjnej dla potrzeb obszaru "Poznańska - Glinki";  L=1200 m</t>
  </si>
  <si>
    <t>7.4</t>
  </si>
  <si>
    <t>7.5</t>
  </si>
  <si>
    <t xml:space="preserve">Modernizacje i przebudowy kanalizacji na terenie miasta Torunia </t>
  </si>
  <si>
    <t>Budowa sieci kanalizacyjnej w ul. Szosa Bydgoska DN 200, L=290 m</t>
  </si>
  <si>
    <t>Budowa sieci kanalizacyjnej w ul. Działowa / Przelot,  DN 200, L=530 m</t>
  </si>
  <si>
    <t>Razem 2019-2023</t>
  </si>
  <si>
    <t xml:space="preserve">Budowa kanalizacji deszczowej na terenie miasta Torunia </t>
  </si>
  <si>
    <t>Porównanie obowiązującego planu inwestycyjnego w zakresie pozostałych inwestycji przyjętego uchwałą NZW nr 6/2016 z dnia 15 czerwca 2016 r. z przedłożoną aktualizacją planu na lata 2019-2023</t>
  </si>
  <si>
    <t>Budowa sieci kanalizacyjnej do Gminy Lubicz</t>
  </si>
  <si>
    <t>wydatki dotychczas poniesione</t>
  </si>
  <si>
    <t>fs III (bez rozszerzenia)</t>
  </si>
  <si>
    <t xml:space="preserve">w tym: kanalizacja deszczowa </t>
  </si>
  <si>
    <t>Mała Nieszawka - wiercenie otworów, podłączenie studni, budowa wodociągu wody surowej</t>
  </si>
  <si>
    <t xml:space="preserve">Modernizacja połączona ze zmianą dotychczasowej funkcji budynków mieszkalnego i gospodarczego przy ul. Św. Józefa w kompleksie wodociągowym Stare Bielany </t>
  </si>
  <si>
    <t>11</t>
  </si>
  <si>
    <t>Nakłady inwestycyjne w latach 2020-2024</t>
  </si>
  <si>
    <t xml:space="preserve">Budowa sieci kanalizacyjnej w ul. Czarlińskiego, DN 160-200, L=270 m </t>
  </si>
  <si>
    <t>Przebudowa przewodu tłocznego do pompowni ścieków przy ulicy Działowej, DN 600; L= 230 m</t>
  </si>
  <si>
    <t>Monitoring strat wody na sieci wodociągowej</t>
  </si>
  <si>
    <t xml:space="preserve">Budowa kanalizacji na potrzeby schroniska dla zwierząt, DN 63, L=130 m wraz z przepompownią </t>
  </si>
  <si>
    <t>Pożyczka na fotowoltaikę z T1</t>
  </si>
  <si>
    <t>12</t>
  </si>
  <si>
    <t>Kredyt w rachunku bieżącym ( z możliwością zmiany na inwestycyjny)</t>
  </si>
  <si>
    <t>(*)</t>
  </si>
  <si>
    <t xml:space="preserve">dofinansowanie </t>
  </si>
  <si>
    <t>dotacja na budynek ul. Józefa</t>
  </si>
  <si>
    <t>dotacja na zadanie "Modernizacja połączona ze zmianą dotychczasowej funkcji budynków mieszkalnego i gospodarczego przy ul. Św. Józefa w kompleksie wodociągowym Stare Bielany"</t>
  </si>
  <si>
    <t>Finansowanie w latach</t>
  </si>
  <si>
    <t>2020-2024</t>
  </si>
  <si>
    <t>Budowa, wymiana kanalizacji deszczowej na terenie Torunia w ulicach modernizowanych przez MZD (rezerwa)</t>
  </si>
  <si>
    <t>Modernizacja  hydroforni i wymiana sieci wodociągowych podwyższonego ciśnienia</t>
  </si>
  <si>
    <t>13</t>
  </si>
  <si>
    <t>14</t>
  </si>
  <si>
    <t>Budowa sieci wodociągowej  TZUO Towimor SA, DN 160-200; L=1470 m</t>
  </si>
  <si>
    <t>dotacja na przepławkę z T1</t>
  </si>
  <si>
    <t>dotacja na Modernizacje kolektora C (etap II) T2</t>
  </si>
  <si>
    <t>Budowa sieci kanalizacyjnej na terenie osiedla Grębocin Nad Strugą, DN 150-200, L= 2 100 m</t>
  </si>
  <si>
    <t>Budowa kanalizacji sanitarnej w ul. Calineczki, DN 200; L=400 m</t>
  </si>
  <si>
    <t>Budowa kanału sanitarnego w ul. Towarowej, DN 300 , L= 380 m</t>
  </si>
  <si>
    <t>Modernizacja gospodarki energetycznej, automatyki i sterowania , instalacji, monitoringu opomiarowania, serwerowni, sieci komputerowych oraz systemów informatycznych na obiektach Spółki</t>
  </si>
  <si>
    <t>Modernizacja hydroforni</t>
  </si>
  <si>
    <t xml:space="preserve">Budowa systemu odwodnienia w ulicy Batorego,  DN 200-700,  L= 500 m </t>
  </si>
  <si>
    <t>Modernizacja kolektora C (etap II) DN 900-1800, L= 7 500 m</t>
  </si>
  <si>
    <t xml:space="preserve"> Rozdział kanalizacji ogólnospławnej w rejonie ul. Poznańskiej , DN 600-1800, L = 900 m</t>
  </si>
  <si>
    <t>I.   BUDOWA   SIECI     WODOCIĄGOWYCH</t>
  </si>
  <si>
    <t>II.   WYMIANA (PRZEBUDOWA)    I    MODERNIZACJA    SIECI     WODOCIĄGOWYCH</t>
  </si>
  <si>
    <t>III.   MODERNIZACJA, PRZEBUDOWA  I BUDOWA URZĄDZEŃ  I  OBIEKTÓW   WODOCIĄGOWYCH</t>
  </si>
  <si>
    <t>6.3</t>
  </si>
  <si>
    <t>6.4</t>
  </si>
  <si>
    <t>6.5</t>
  </si>
  <si>
    <t>6.6</t>
  </si>
  <si>
    <t>6.7</t>
  </si>
  <si>
    <t>10</t>
  </si>
  <si>
    <t>IV.   PRZYGOTOWANIE NOWYCH ZADAŃ INWESTYCYJNYCH ORAZ REZERWA ZWIĄZANE Z MODERNIZACJĄ, WYMIANĄ, BUDOWĄ, WYKUPAMI I USTANOWIENIEM SŁUŻEBNOŚCI DLA LOKALIZACJI  SIECI, URZĄDZEŃ I OBIEKTÓW WODOCIĄGOWYCH</t>
  </si>
  <si>
    <t>T1 + T2</t>
  </si>
  <si>
    <t>T1 +T2, T3</t>
  </si>
  <si>
    <r>
      <t xml:space="preserve">Gospodarka wodna na terenie aglomeracji Toruń - III etap RAZEM
</t>
    </r>
    <r>
      <rPr>
        <sz val="10"/>
        <color rgb="FFFF0000"/>
        <rFont val="Garamond"/>
        <family val="1"/>
        <charset val="238"/>
      </rPr>
      <t>Uwaga: część Projektu FS III dot. wodociągu została zakończona w roku 2020</t>
    </r>
  </si>
  <si>
    <t>ogółem dofinansowanie</t>
  </si>
  <si>
    <t>Nakłady inwestycyjne w latach 2021-2025</t>
  </si>
  <si>
    <t>dotacje: woda + kanał+budynek na Józefa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</si>
  <si>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</si>
  <si>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</si>
  <si>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</si>
  <si>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</si>
  <si>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</si>
  <si>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</si>
  <si>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</si>
  <si>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</si>
  <si>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</si>
  <si>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</si>
  <si>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</si>
  <si>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</si>
  <si>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</si>
  <si>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</si>
  <si>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</si>
  <si>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</si>
  <si>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</si>
  <si>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</si>
  <si>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</si>
  <si>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</si>
  <si>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</si>
  <si>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</si>
  <si>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</si>
  <si>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</si>
  <si>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</si>
  <si>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</si>
  <si>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</si>
  <si>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</si>
  <si>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</si>
  <si>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</si>
  <si>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</si>
  <si>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</si>
  <si>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</si>
  <si>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</si>
  <si>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</si>
  <si>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</si>
  <si>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</si>
  <si>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Zagospodarowanie wód opadowych na terenie siedziby Toruńskich Wodociągów Sp. z o.o. przy ul. Rybaki 31-35 
(zadanie własne TW)</t>
  </si>
  <si>
    <t>SUW Drwęca - przebudowa i budowa sit</t>
  </si>
  <si>
    <t xml:space="preserve">Modernizacja obiektów na sieci wodociągowej </t>
  </si>
  <si>
    <t>środki własne Spółki, kredyty i pożyczki</t>
  </si>
  <si>
    <t>dofinansowanie</t>
  </si>
  <si>
    <t>3.11</t>
  </si>
  <si>
    <r>
      <rPr>
        <b/>
        <sz val="11"/>
        <color theme="0"/>
        <rFont val="Times New Roman"/>
        <family val="1"/>
        <charset val="238"/>
      </rPr>
      <t>rok 2019,</t>
    </r>
    <r>
      <rPr>
        <sz val="11"/>
        <color theme="0"/>
        <rFont val="Times New Roman"/>
        <family val="1"/>
        <charset val="238"/>
      </rPr>
      <t xml:space="preserve"> w tym:
1. kwota 1 322 - śr.pieniężne o ograniczonym dostępie (w tym: wadia 158tys,, zabezpieczenia 898tys, fundusz socjalny 266 tys) 
2. kwota 6 168,1 - dotacja na projekt FS III
(wpływ kwoty 6 mln dnia 30.12.2019 r.-śr. do wydatkowania w I i II kw.2020)
</t>
    </r>
    <r>
      <rPr>
        <b/>
        <sz val="11"/>
        <color theme="0"/>
        <rFont val="Times New Roman"/>
        <family val="1"/>
        <charset val="238"/>
      </rPr>
      <t>rok 2020</t>
    </r>
    <r>
      <rPr>
        <sz val="11"/>
        <color theme="0"/>
        <rFont val="Times New Roman"/>
        <family val="1"/>
        <charset val="238"/>
      </rPr>
      <t xml:space="preserve">, w tym:
1. kwota 1 300 - szacowane śr.pieniężne o ograniczonym dostępie (wadia ok. 200tys, zabezpieczenia ok. 800 tys, fundusz socjalny ok. 300tys) </t>
    </r>
  </si>
  <si>
    <r>
      <t>Środki pieniężne na koniec okresu</t>
    </r>
    <r>
      <rPr>
        <b/>
        <sz val="12"/>
        <color theme="0"/>
        <rFont val="Times New Roman"/>
        <family val="1"/>
        <charset val="238"/>
      </rPr>
      <t xml:space="preserve"> (*)</t>
    </r>
  </si>
  <si>
    <t xml:space="preserve">SUW Drwęca - przebudowa ogrodzenia </t>
  </si>
  <si>
    <t>Zakup samochodów elektrycznych wraz ze stacjami ładowania (wymóg ustawy o elektromobilności)</t>
  </si>
  <si>
    <t>Obniżenie poziomu wód gruntowych w części osiedla mieszkaniowego JAR</t>
  </si>
  <si>
    <t>3.12</t>
  </si>
  <si>
    <t>Budowa sieci wodociągowej w ul. Pszczelnej, DN 100, L= 120 m</t>
  </si>
  <si>
    <t>Budowa sieci wodociągowej w ul. Kartuskiej (58-60,22), DN 100, L=250m</t>
  </si>
  <si>
    <t>RAZEM  III</t>
  </si>
  <si>
    <t xml:space="preserve">Budowa kanalizacji deszczowej w ul. Aleja 700-lecia (odc. od pl. Niepodległości do ul. Dekerta do odprowadzenia wód deszczowych z ul. Sz. Chełmińska) DN 300-800, L= 726 m </t>
  </si>
  <si>
    <t>3.13</t>
  </si>
  <si>
    <t>3.14</t>
  </si>
  <si>
    <t>Budowa kanalizacji deszczowej w ul. Platanowej (odc. od  od Palmowej do ukł. komunik. Agata Meble) DN 600-800, L=320m</t>
  </si>
  <si>
    <t>Finansowanie w latach 2019-2020 (*)</t>
  </si>
  <si>
    <t>(*) Finansowanie w latach 2019-2020: rok 2019 wykonanie, rok 2020 przewidywane wykonanie</t>
  </si>
  <si>
    <t>pożyczki</t>
  </si>
  <si>
    <t>I kw. 2022</t>
  </si>
  <si>
    <t>plan 2021</t>
  </si>
  <si>
    <t>wyk 2021</t>
  </si>
  <si>
    <t>w tym deszczówka</t>
  </si>
  <si>
    <t>zostało</t>
  </si>
  <si>
    <t>przekroczenie planu</t>
  </si>
  <si>
    <r>
      <t xml:space="preserve">WFOŚiGW Ciechocinek, Zławieś Wielka, Obrowo, Łubianka (4 zadania razem) + </t>
    </r>
    <r>
      <rPr>
        <b/>
        <sz val="9"/>
        <rFont val="Arial"/>
        <family val="2"/>
        <charset val="238"/>
      </rPr>
      <t>LUBICZ</t>
    </r>
  </si>
  <si>
    <r>
      <t xml:space="preserve">Wymiana sieci kanalizacyjnej i sieci wodociągowej wraz z przyłączami na terenie miasta Torunia (wymiana ok. 2,5 km sieci kanalizacyjnych DN 150-800 na Bielanach, Chełmińskim Przedmieściu, Mokrym, Rubinkowie i Wrzosach) 
</t>
    </r>
    <r>
      <rPr>
        <b/>
        <sz val="10"/>
        <rFont val="Garamond"/>
        <family val="1"/>
      </rPr>
      <t>Kontrakt Z-3/W</t>
    </r>
    <r>
      <rPr>
        <sz val="10"/>
        <rFont val="Garamond"/>
        <family val="1"/>
      </rPr>
      <t xml:space="preserve"> + (Z-8/U Pomoc techniczna i Inżynier Kontraktu + Z-10/U Działania informacyjno-promocyjne + Z-11/U Opracowanie wniosku o dofinansowanie + pozostałe wydatki w udziale proporcjonalnym do wartości Kontraktu Z-3/W)</t>
    </r>
  </si>
  <si>
    <r>
      <t xml:space="preserve">Bezwykopowa modernizacja kolektora B w Toruniu (modernizacja ok. 5 km kolektora DN 600/900 - 2300/2300) 
</t>
    </r>
    <r>
      <rPr>
        <b/>
        <sz val="10"/>
        <rFont val="Garamond"/>
        <family val="1"/>
      </rPr>
      <t>Kontrakt Z-5/W</t>
    </r>
    <r>
      <rPr>
        <sz val="10"/>
        <rFont val="Garamond"/>
        <family val="1"/>
      </rPr>
      <t xml:space="preserve"> + (Z-9/U-1 Pomoc techniczna i Inżynier Kontraktu + Z-10/U Działania informacyjno-promocyjne + Z-11/U Opracowanie wniosku o dofinansowanie + pozostałe wydatki w udziale proporcjonalnym do wartości Kontraktu Z-5/W)</t>
    </r>
  </si>
  <si>
    <t>Pożyczka FS III na pokrycie kosztów niekwalifikowalnych</t>
  </si>
  <si>
    <t>Budowa kanalizacji sanitarnej do budynków przy ul. Nad Zatoką 3 i 4, DN 160-200,  L= 300 m</t>
  </si>
  <si>
    <t>Dotacja na  IV etap Projektu "Gospodarka wodno - ściekowa"</t>
  </si>
  <si>
    <t>Pożyczkana z NFOŚiGW na IV etap Projektu "Gospodarka wodno - ściekowa"</t>
  </si>
  <si>
    <t>spłata rat od roku 2027</t>
  </si>
  <si>
    <t>Razem I, II, III, IV 
 (*) Uwaga: część Projektu FS III dot. wodociągu została zakończona w roku 2020</t>
  </si>
  <si>
    <t>dotacja na wodę</t>
  </si>
  <si>
    <t>dotacja na kanalizację</t>
  </si>
  <si>
    <t>bez roku 2021</t>
  </si>
  <si>
    <t>dotacja na  samochody</t>
  </si>
  <si>
    <t xml:space="preserve">Modernizacja pompowni Stare Bielany </t>
  </si>
  <si>
    <t>Budowa instalacji fotowoltaicznej na terenie Stacji Wodociągowej  Mała Nieszawka</t>
  </si>
  <si>
    <t xml:space="preserve">Budowa sieci kanalizacyjnej na terenach przemysłowych - Boryszew S.A. (kontynuacja) w tym:
etap II: odcinek 4 (2022-23) DN 200-450; L=  700 m
etap III: odcinek 2 i 3 (2023-2024) DN 300,  L= 1430 m </t>
  </si>
  <si>
    <t xml:space="preserve">Budowa sieci kanalizacyjnej  w ul.  Na Zapleczu DN 160-200; L=200 m </t>
  </si>
  <si>
    <t>Budowa kanalizacji sanitarnej do posesji przy ul. Poznańskiej 24, 26, 28, DN 200, L=90 m oraz Młyńskiej 6 wraz z przepompownią ścieków</t>
  </si>
  <si>
    <t xml:space="preserve">Modernizacja obiektów na sieci kanalizacji tłocznej </t>
  </si>
  <si>
    <t>Budowa sieci wodociągowej w rejonie ul: Poznańskiej (TTBS)</t>
  </si>
  <si>
    <t xml:space="preserve">Wymiana (przebudowa) sieci wodociągowej na terenie OM Bukowa Kępa, DN 100 ; L=300 m </t>
  </si>
  <si>
    <t xml:space="preserve">Wymiana sieci wodociągowej podwyższonego ciśnienia </t>
  </si>
  <si>
    <t xml:space="preserve">Budowa sieci kanalizacyjnej dla  budynków wielorodzinnych w ul. Winnica, DN 200, L=300 m </t>
  </si>
  <si>
    <t>Budowa sieci kanalizacyjnej w ul. Kryńskiego, DN 200, L=80 m</t>
  </si>
  <si>
    <t>Uporządkowanie gospodarki ściekowej na Stacji Wodociągowej  Drwęca-Jedwabno</t>
  </si>
  <si>
    <t>Budowa sieci kanalizacyjnej na terenie OM Rudak B, 
 ul. Gliniecka i Aleksandrowska, DN 200,  L=810 m (2024-25)</t>
  </si>
  <si>
    <t xml:space="preserve"> Przebudowa i modernizacja sieci kanalizacyjnej na terenie OHP przy ul. Poznańskiej oraz osiedla przy ul. Idzikowskiego, DN 200, L=600 m</t>
  </si>
  <si>
    <t xml:space="preserve">Modernizacja sieci kanalizacyjnej w ul. Łyskowskiego, DN 200, L=500 m </t>
  </si>
  <si>
    <t>Modernizacja sieci kanalizacyjnej Rynek Staromiejski 18, DN 150, L=10 m</t>
  </si>
  <si>
    <t>Modernizacja sieci kanalizacyjnej w ul.Krasińskiego, DN 250-300, L=128 m</t>
  </si>
  <si>
    <t>Budowa sieci kanalizacyjnej  OM JAR 
ul.  Keplera  , Halleya,  (2022-23) DN 200-300,  L= 1 500  m</t>
  </si>
  <si>
    <t>usunięto pożyczkę po dyspozycji ZF z dnia 15-12-2021</t>
  </si>
  <si>
    <t>ujęto kwotę z wniosku o pożyczkę na fotowoltaike na Małą Nieszawke (inf. od ZF), a wartość najtańszej oferty wynosi 1 702 549,00 zł</t>
  </si>
  <si>
    <t xml:space="preserve">po dyspozycji ZF z dnia 15-12-2021 należy założyć spłatę odsetek od 2023, a spłate rat  od 2024 </t>
  </si>
  <si>
    <t>Pożyczka na budowe 3 WKFZ</t>
  </si>
  <si>
    <t>pożyczka z EKO-KLIMAT na 14 mln zł., 12 m-cy okresu karencji, spłata na 14 lat, oprocentowanie 2% w stosunku rocznym</t>
  </si>
  <si>
    <r>
      <t>Bezwykopowa modernizacja sieci kanalizacyjnej na terenie miasta Torunia - II etap (modernizacja ok. 8,6 km sieci DN 150-1000)</t>
    </r>
    <r>
      <rPr>
        <b/>
        <sz val="10"/>
        <rFont val="Garamond"/>
        <family val="1"/>
        <charset val="238"/>
      </rPr>
      <t/>
    </r>
  </si>
  <si>
    <r>
      <t xml:space="preserve">Bezwykopowa modernizacja kolektora C w Toruniu (modernizacja ok. 3,2 km kolektora DN 1000-2000) </t>
    </r>
    <r>
      <rPr>
        <b/>
        <sz val="10"/>
        <rFont val="Garamond"/>
        <family val="1"/>
        <charset val="238"/>
      </rPr>
      <t/>
    </r>
  </si>
  <si>
    <t>Razem
2022-2026</t>
  </si>
  <si>
    <t>WIELOLETNI PLAN INWESTYCYJNY TORUŃSKICH WODOCIĄGÓW SP. Z O.O. NA LATA 2022 - 2026</t>
  </si>
  <si>
    <t>Razem 
2022-2026</t>
  </si>
  <si>
    <t>I. GOSPODARKA ŚCIEKOWA NA TERENIE AGLOMERACJI TORUŃ - III ETAP (dofinansowanie z UE-FS 2014-2020) + nowa perspektywa finansowa 2021-2027</t>
  </si>
  <si>
    <t xml:space="preserve"> Razem
2022-2026
</t>
  </si>
  <si>
    <t>Razem I (Projekt Gospodarka wodna na terenie aglomeracji Toruń - III etap) + nowa perspektywa finansowa 2021-2027</t>
  </si>
  <si>
    <r>
      <t xml:space="preserve">Gospodarka wodna na terenie aglomeracji Toruń - III etap + nowa perspektywa finansowa 2021-2027
</t>
    </r>
    <r>
      <rPr>
        <sz val="10"/>
        <color rgb="FFFF0000"/>
        <rFont val="Garamond"/>
        <family val="1"/>
        <charset val="238"/>
      </rPr>
      <t>Uwaga: część Projektu FS III dot. wodociągu została zakończona w roku 2020</t>
    </r>
  </si>
  <si>
    <t>Gospodarka wodna na terenie aglomeracji Toruń - III etap + nowa perspektywa finansowa 2021-2027</t>
  </si>
  <si>
    <r>
      <t xml:space="preserve">Ogółem dofinansowanie zadań Spółki
</t>
    </r>
    <r>
      <rPr>
        <sz val="10"/>
        <rFont val="Garamond"/>
        <family val="1"/>
        <charset val="238"/>
      </rPr>
      <t>(w tym: Projekt FS III + nowa perspektywa finansowa 2021-2027,  dotacja na budowę przepławki na jazie na rzece Drwęcy, instalacji fotowoltaicznej + sita na SUW Drwęca )</t>
    </r>
  </si>
  <si>
    <t>Nakłady inwestycyjne w latach 2022-2026</t>
  </si>
  <si>
    <t>Finansowanie w
 latach 2022-2026</t>
  </si>
  <si>
    <t>Finansowanie w latach 
2022-2026</t>
  </si>
  <si>
    <t xml:space="preserve">Termomodernizacja obiektów Spółki </t>
  </si>
  <si>
    <t>zmienić na sita 85% dotacja</t>
  </si>
  <si>
    <t xml:space="preserve"> - zmniejszenia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</si>
  <si>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</si>
  <si>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</si>
  <si>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</si>
  <si>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</si>
  <si>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</si>
  <si>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</si>
  <si>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</si>
  <si>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</si>
  <si>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</si>
  <si>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</si>
  <si>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</si>
  <si>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</si>
  <si>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</si>
  <si>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</si>
  <si>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</si>
  <si>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</si>
  <si>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</si>
  <si>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</si>
  <si>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</si>
  <si>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</si>
  <si>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</si>
  <si>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</si>
  <si>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</si>
  <si>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</si>
  <si>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</si>
  <si>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</si>
  <si>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9</t>
  </si>
  <si>
    <t xml:space="preserve">Rezerwa związana z modernizacją, wymianą, budową, wykupami i ustanowieniem służebności dla lokalizacji sieci, urządzeń i obiektów wodociągowych oraz przygotowaniem nowych zadań inwestycyjnych </t>
  </si>
  <si>
    <r>
      <t xml:space="preserve">Rozdział kanalizacji ogólnospławnej - bezwykopowa budowa kolektora deszczowego K-I w ul. Chrobrego w Toruniu (kanał ok. 2,2 km DN 1200)
</t>
    </r>
    <r>
      <rPr>
        <b/>
        <sz val="10"/>
        <rFont val="Garamond"/>
        <family val="1"/>
      </rPr>
      <t>Kontrakt Z-6/W</t>
    </r>
    <r>
      <rPr>
        <sz val="10"/>
        <rFont val="Garamond"/>
        <family val="1"/>
      </rPr>
      <t xml:space="preserve"> + (Z-9/U-2 Pomoc techniczna i Inżynier Kontraktu + Z-10/U Działania informacyjno-promocyjne + Z-11/U Opracowanie wniosku o dofinansowanie + pozostałe wydatki w udziale proporcjonalnym do wartości Kontraktu Z-6/W)</t>
    </r>
  </si>
  <si>
    <t xml:space="preserve">Gospodarka wodno - ściekowa na terenie aglomeracji Toruń - III etap + nowa perspektywa finansowa 2021-2027
</t>
  </si>
  <si>
    <t xml:space="preserve">Projekt Gospodarka wodno - ściekowa na terenie aglomeracji Toruń - III etap + nowa perspektywa finansowa 2021-2027, OGÓŁEM </t>
  </si>
  <si>
    <t>Gospodarka ściekowa na terenie aglomeracji Toruń + nowa perspektywa finansowa 2021-2027 - III etap RAZEM</t>
  </si>
  <si>
    <t xml:space="preserve">Projekt Gospodarka wodno - ściekowa na terenie aglomeracji Toruń - III etap + nowa perspektywa finansowa OGÓŁEM </t>
  </si>
  <si>
    <t>Gospodarka ściekowa na terenie aglomeracji Toruń - III etap + nowa perspektywa finansowa 2021-2027, RAZEM</t>
  </si>
  <si>
    <t>Budowa sieci wodociągowej OM JAR 
ul.  Keplera  , Halleya,  (2022-23) DN 100-200, L=1 500 m</t>
  </si>
  <si>
    <t xml:space="preserve">Budowa sieci wodociągowej na terenie OM Stawki Płd. (kontynuacja), w tym w ulicach: 
Okulickiego, Jeżyka, Kuropatwy, Czachowskiego, DN 100; L=520 m </t>
  </si>
  <si>
    <t>Budowa sieci wodociągowej na terenach przemysłowych - Boryszew S.A. (kontynuacja) w tym:
- odcinek  4 (2023) DN 100-250; L= 700 m
- odcinek 2 (2024) DN100-200; L=900 m 
- odcinek 3 (2025) DN 100; L=700 m
- odcinek 6, (2026) DN 200; L=430 m</t>
  </si>
  <si>
    <t>Budowa sieci wodociągowych na terenie pozostałych części miasta: Wrzosy, Stawki, Podgórz, Rudak, Mokre, Chełmińskie Przedmieście, Rubinkowo, Grębocin oraz w ulicach modernizowanych przez MZD, w tym największe z nich: 
1. Grota Roweckiego (1 570 tys. zł w latach 2023-25)
2. Łódzka  (1 290 tys. zł w 2022 - kontynuacja) 
3. Grębocin Nad Strugą (950 tys. zł, w latach 2022-2023)
4. Podgórska-Grzybowa-Rudacka (1 150 tys. zł w latach 2024-25)</t>
  </si>
  <si>
    <t xml:space="preserve">Budowa sieci wodociągowej w ul. Mazowieckiej, na północ od Polnej, DN 100;  L=450 m </t>
  </si>
  <si>
    <t xml:space="preserve">Budowa sieci wodociągowej dla potrzeb obszaru "Poznańska - Glinki" DN 150-250; L=1200 m </t>
  </si>
  <si>
    <t xml:space="preserve">Budowa sieci wodociągowej na terenie OM Rudak B,
ul. Gliniecka i Aleksandrowska (2025) DN 100; L=450 m        </t>
  </si>
  <si>
    <t>Budowa sieci wodociągowej w ul.Ceglanej (do posesji nr 8-16), DN 150; L=200 m</t>
  </si>
  <si>
    <t>Budowa sieci wodociągowej w ul. Działowa 162,164, DN 100; L=350 m</t>
  </si>
  <si>
    <t>Budowa sieci wodociągowej od ul. Ukośnej, DN 100; L= 400 m</t>
  </si>
  <si>
    <t>Budowa sieci wodociągowej na terenie osiedla Grębocin Nad Strugą, DN 100-150; L=1 700 m</t>
  </si>
  <si>
    <t>Budowa sieci wodociągowej w ul. Na Zapleczu (bocznej), DN 100; L=350 m</t>
  </si>
  <si>
    <t>Budowa sieci wodociągowej w ul. Poznańskiej (w rejonie posesji nr 160) DN 100;L=130 m</t>
  </si>
  <si>
    <t>Budowa sieci wodociągowej w rejonie ulic: Równinnej (2022-23) DN 150; L=700 m  i  Kociewskiej (2025-26) , DN 150; L=600 m  (2025-26)</t>
  </si>
  <si>
    <t>Budowa sieci wodociągowej w ul. Bukowej, DN 150; L=220 m</t>
  </si>
  <si>
    <t xml:space="preserve">Budowa sieci wodociągowej dla  budynków wielorodzinnych w ul. Winnica DN 100; L=120  m </t>
  </si>
  <si>
    <t xml:space="preserve">Budowa sieci wodociągowej do posesji przy ul. Port Drzewny (ZGM) DN 100; L=400 m </t>
  </si>
  <si>
    <t xml:space="preserve">Budowa sieci wodociągowej w ul. Kłopot , DN 100; L=160 m </t>
  </si>
  <si>
    <t xml:space="preserve">Budowa sieci wodociągowej w ul. Kryńskiego;  DN 100; L=80 m </t>
  </si>
  <si>
    <t>Budowa sieci wodociągowej w ul. Podgórskiej 18, DN 100-150; L=470 m</t>
  </si>
  <si>
    <t xml:space="preserve">Budowa sieci wodociągowej w ul. Cztery Pory Roku i Zimowej, DN 100-150; L=540 m </t>
  </si>
  <si>
    <t xml:space="preserve">Wymiana i przebudowa sieci wodociągowych w następujących częściach miasta: Chełmińskie Przedmieście, Podgórz, Mokre,  Rubinkowo.   </t>
  </si>
  <si>
    <t>Wymiana (przebudowa) wodociągu w ul. Grudziądzkiej - bocznej (budynek Straży Miejskiej) , DN 100-150; L=380 m</t>
  </si>
  <si>
    <t xml:space="preserve">Wymiana wodociągu w ul. PCK, DN 150; L=550 m </t>
  </si>
  <si>
    <t>Przebudowa sieci wodociągowej w skrzyzowaniu ul. Warneńczyka i Grudziądzkiej , DN 350-500; L=210 m</t>
  </si>
  <si>
    <t>Wymiana wodociągu DN 100; L=50 m  i komory  w ul. Podgórskiej (fort XV)</t>
  </si>
  <si>
    <t xml:space="preserve">Wymiana wodociągu w ul. Czarlińskiego DN 100; L=200 m </t>
  </si>
  <si>
    <t xml:space="preserve">SUW Drwęca  - modernizacja pompowni </t>
  </si>
  <si>
    <t>Budowa instalacji fotowoltaicznej na terenie Stacji Wodociągowej Drwęca-Jedwabno</t>
  </si>
  <si>
    <t>Budowa sieci kanalizacyjnej na terenie OM Bukowa Kępa (kontynuacja) ,
 DN 200; L=760 m</t>
  </si>
  <si>
    <t>Budowa sieci kanalizacyjnej  na terenie pozostałych części miasta: Grębocin , Podgórz, Chełmińskie Przedmieście,  Mokre, Wrzosy, Rudak; w tym największe z nich: 
1  Grębocin Nad Strugą (1 870 tys zł.  w latach 2022-23)
2.Równinna i Kociewska (2 270 tys. zł w latach 2022-2026)
3. obszar "Poznańska - Glinki" (1 650 tys zł w latachy 2025-26)</t>
  </si>
  <si>
    <t>Budowa sieci kanalizacyjnej w ul. Podgórskiej 18, DN 200, L=460 m</t>
  </si>
  <si>
    <t>Budowa sieci kanalizacyjnej w ul. Ceglanej DN 200, L=140 m</t>
  </si>
  <si>
    <t>Modernizacjasieci kanalizacyjnej w ul. Szosa Lubicka (od Pl. Daszyńskiego do Rydygiera) DN 800 - 1200, L=580 m</t>
  </si>
  <si>
    <t>Przebudowa sieci kanalizacyjnej w ul. Idzikowskiego DN 200, L=350 m</t>
  </si>
  <si>
    <t>Modernizacja sieci kanalizacyjnej w ul. Sczanieckiego, Fałata, Słowackiego, Matejki, DN 200, L=120 m</t>
  </si>
  <si>
    <r>
      <t xml:space="preserve">Budowa bazy Wydziału Eksploatacji Sieci Wod-Kan.  na terenie Oczyszczalni Ścieków </t>
    </r>
    <r>
      <rPr>
        <i/>
        <sz val="10"/>
        <rFont val="Garamond"/>
        <family val="1"/>
      </rPr>
      <t>Centralna</t>
    </r>
  </si>
  <si>
    <r>
      <t xml:space="preserve">Gospodarka osadowa na terenie Oczyszczalni Ścieków </t>
    </r>
    <r>
      <rPr>
        <i/>
        <sz val="10"/>
        <rFont val="Garamond"/>
        <family val="1"/>
      </rPr>
      <t>Centralna</t>
    </r>
    <r>
      <rPr>
        <sz val="10"/>
        <rFont val="Garamond"/>
        <family val="1"/>
      </rPr>
      <t xml:space="preserve"> (w tym budowa WKFZ w latach 2023-2024)</t>
    </r>
  </si>
  <si>
    <t>Budowa kanalizacji deszczowej na terenie OM JAR, (2022-2023) DN 300-800, L=1 500 m
ul. Halleya, Keplera</t>
  </si>
  <si>
    <t>Budowa kanalizacji deszczowej w ul.Hebanowej, DN 300-400, L=350 m</t>
  </si>
  <si>
    <t>Budowa kanalizacji deszczowej w ul.Chrzanowskiego,  DN 200-500, L= 810 m</t>
  </si>
  <si>
    <t>Budowa kanalizacji deszczowej w ul. Droga Trzeposka 
(odc. na działce METRONU przedł. do ul. Pająkowskiego) DN 300, L=100 m</t>
  </si>
  <si>
    <t>Budowa sieci kanalizacyjnej w ul. Działowej 162, 164 , DN 200, L=230 m</t>
  </si>
  <si>
    <t>Budowa, wymiana kanalizacji na terenie Torunia w ulicach modernizowanych przez MZD (w tym w ramach PBDL w 2022 w ulicach między innymi: Platanowej, Pająkowskiego)</t>
  </si>
  <si>
    <t>Budowa sieci kanalizacyjnej w rejonie ulic: Nieszawska, Przy Nasypie i Zagrodowa - I etap, DN 150- 200 L=3 150 m, przepompownia ścieków</t>
  </si>
  <si>
    <t xml:space="preserve">Budowa sieci kanalizacyjnej  w rejonie ulic: Równinnej (2022-23) DN 200 ,  L=600 m  i  Kociewskiej (2025-26) , DN 200, L=600 m  </t>
  </si>
  <si>
    <t>Modernizacja obiektów technologicznych na terenie Oczyszczalni Ścieków Centralna (piaskowniki, osadniki wtórne i in.)</t>
  </si>
  <si>
    <t>Budowa sieci kanalizacyjnej w ul. Podgórskiej 14 , DN 600, L=50 m</t>
  </si>
  <si>
    <t>Budowa sieci kanalizacyjnej w ul. Kłopot 4D , DN 150-200, L=1200 m</t>
  </si>
  <si>
    <t>Budowa sieci kanalizacyjnej w ul. Polna 142a, DN 200, L=370 m</t>
  </si>
  <si>
    <r>
      <t xml:space="preserve">Modernizacja Centralnej Oczyszczalni Ścieków w Toruniu - II etap
</t>
    </r>
    <r>
      <rPr>
        <b/>
        <sz val="10"/>
        <rFont val="Garamond"/>
        <family val="1"/>
        <charset val="238"/>
      </rPr>
      <t>Kontrakt Z-12/W</t>
    </r>
    <r>
      <rPr>
        <sz val="10"/>
        <rFont val="Garamond"/>
        <family val="1"/>
        <charset val="238"/>
      </rPr>
      <t xml:space="preserve"> + (Z-13/U Inżynier Kontraktu + pozostałe wydatki w udziale proporcjonalnym do wartości Kontraktu Z-12/W)</t>
    </r>
  </si>
  <si>
    <t xml:space="preserve">Budowa sieci wodociągowej na terenie OM Rudak C
 - ul. Rudacka (odcinki  boczne) DN 400, L=600 m </t>
  </si>
  <si>
    <t>Budowa sieci wodociągowej w ul.Szosa Bydgoska (na wys. pętli tramwajowej) DN 100, L=315 m</t>
  </si>
  <si>
    <t>Budowa sieci wodociągowej w ulicach Podgórska-Grzybowa-Rudacka DN 300, L=2000 m</t>
  </si>
  <si>
    <t>Budowa sieci wodociągowej w ul.Grota Roweckiego DN 150-200, L=ok. 1700 m</t>
  </si>
  <si>
    <t>Budowa sieci wodociągowej w ul. Łódzkiej DN 200, L=1970 m</t>
  </si>
  <si>
    <t>Budowa sieci wodociągowej w ul. Działowa / Przelot DN 100, L=410 m</t>
  </si>
  <si>
    <t>Budowa sieci wodociągowej w ul. Fromborskiej DN 100; L= 250 m</t>
  </si>
  <si>
    <t>Budowa sieci wodociągowej w ulicach Calineczki i Kopciuszka DN 100; L=400 m</t>
  </si>
  <si>
    <t>Budowa sieci wodociągowej w ul. Przy Nasypie DN 100; L=520 m</t>
  </si>
  <si>
    <t>Budowa, wymiana wodociągu na terenie Torunia w ulicach modernizowanych przez MZD (w tym w ramach PBDL w 2022 w ulicach: Platanowa DN 150-180;  L=510 m, Droga Trzeposka  DN 100; L=90 m, Pająkowskiego DN 150-200; L=515 m)</t>
  </si>
  <si>
    <t xml:space="preserve">Rezerwa związana z modernizacją, wymianą, budową wykupami i ustanowieniem służebności dla lokalizacji sieci, urządzeń i obiektów kanalizacyjnych oraz przygotowaniem nowych zadań inwestycyjnych </t>
  </si>
  <si>
    <t>2020
wykonanie</t>
  </si>
  <si>
    <t>2020 
wykonanie</t>
  </si>
  <si>
    <t>2021
przewidywane wykonanie</t>
  </si>
  <si>
    <t>2021 przewidywane wykonanie</t>
  </si>
  <si>
    <t>II.   WYMIANA    I    MODERNIZACJA    SIECI     WODOCIĄGOWYCH</t>
  </si>
  <si>
    <t>III.   MODERNIZACJA  I BUDOWA URZĄDZEŃ  I  OBIEKTÓW   WODOCIĄGOWYCH</t>
  </si>
  <si>
    <t>Razem  WODOCIĄG + KANALIZACJA
lata 2021-2025</t>
  </si>
  <si>
    <t>Razem WODOCIĄG + KANALIZACJA
lata 2022-2026</t>
  </si>
  <si>
    <t>zmian ana dyspoycję ZF 08-02-2022</t>
  </si>
  <si>
    <t>Wymiana wodociągów w ulicach:
-  ul. Bema, DN 100, L=110 m
- ul. Warneńczyka (droga wewnętrzna)  DN 100-150, L=390 m</t>
  </si>
  <si>
    <t>Budowa sieci kanalizacyjnej na terenie OM Stawki Płd. (kontynuacja), w ulicach: 
Okulickiego, Jeżyka, Kuropatwy, Czachowskiego, Łączna (droga boczna) DN 200; L= 600 m</t>
  </si>
  <si>
    <t>Razem I+II+III+IV WODOCIĄG
lata 2021-2025</t>
  </si>
  <si>
    <t>Razem I+II+III+IV  WODOCIĄG
lata 2022-2026</t>
  </si>
  <si>
    <t>Razem I+II+III+IV+V KANALIZACJA
lata 2022-2026</t>
  </si>
  <si>
    <t>Razem I+II+III+IV+V KANALIZACJA
lata 2021-2025</t>
  </si>
  <si>
    <t>Budowa kanalizacji deszczowej w ul. Pająkowskiego (odc.od ul. Targowej do ul. Szosa Lubicka) DN 300, L=500 m</t>
  </si>
  <si>
    <t>Plan 2021-2025</t>
  </si>
  <si>
    <t>Wydatki do 2021 r.</t>
  </si>
  <si>
    <t>Razem 2021-2025</t>
  </si>
  <si>
    <t>Wyszczególnienie zadania plan 2021-2025</t>
  </si>
  <si>
    <t>Budowa kanalizacji deszczowej na zrewitalizowanych terenach poprzemysłowych - Boryszew SA
etap II odcinek nr 4 , DN 315-800, L=600 m (2022)
etap III: odcinek nr 2 i  3 DN 600-900, L= 1300 m</t>
  </si>
  <si>
    <t>Budowa kanalizacji deszczowej ul. Winnica (kontynuacja), DN 200-500, L= 810 m</t>
  </si>
  <si>
    <t>3.16</t>
  </si>
  <si>
    <t>Budowa kanalizacji deszczowej w ul. Pająkowskiego (odc.od ul. Targowej do ul. Szosa Lubicka) DN 300, L=100</t>
  </si>
  <si>
    <t>3.15</t>
  </si>
  <si>
    <t xml:space="preserve">Pozostałe zakupy inwestycyjne </t>
  </si>
  <si>
    <t>Modernizacja połączona ze zmianą dotychczasowej funkcji budynków mieszkalnego i gospodarczego przy ul. Św. Józefa w kompleksie wodociągowym Stare Bielany</t>
  </si>
  <si>
    <t>Budowa kanalizacji deszczowej w ul. Aleja 700-lecia (odc. od pl. Niepodległości do ul. Dekerta do odprowadzenia wód deszczowych z ul. Sz. Chełmińska) DN 300-800, L= 726 m</t>
  </si>
  <si>
    <t>Budowa kanalizacji deszczowej w ul. Al. 700-lecia od ul. Dekerta do ul. Bema w docelowym układzie 129 m oraz kanalizacji deszczowej w ul. Sz. Chełmińska od ul. Dekerta do ul. Podgórnej 356 m</t>
  </si>
  <si>
    <t>Budowa kanalizacji deszczowej na terenie OM JAR, rok 2021 DN 300-800, L=1340m (ul. Heweliusza i Rybińskiego) lata 2022-2023: L=ok.1750m</t>
  </si>
  <si>
    <t>Budowa kanalizacji deszczowej w ul. Kociej (odc. od ul. Balladyny do ul. Światowida) DN 200, L=80m</t>
  </si>
  <si>
    <t>Budowa kanalizacji deszczowej w ul. Droga Trzeposka 
(odc. na działce METRONU przedł. do ul. Pająkowskiego) DN 300, L=100m</t>
  </si>
  <si>
    <t>Budowa kanalizacji deszczowej w ul. Św. Józefa, DN 160-500, L=1330 m</t>
  </si>
  <si>
    <t>Budowa kanalizacji deszczowej na zrewitalizowanych terenach poprzemysłowych - Boryszew SA
- odcinek nr 4 , DN 900, L=600 m (2023)
- odcinek nr 2  DN 300, 400, 900 L= 650 m (2024)
- odcinek 3 DN 400, 600, 900 L=700 m (2025)
- odcinek 6 DN 400, 800, L=400 m (2026)</t>
  </si>
  <si>
    <t>Plan 2022-2026</t>
  </si>
  <si>
    <t>Budowa kanalizacji deszczowej na terenie OM JAR, (2022-2023) DN 300-800, L=1 500 m, ul. Halleya, Keplera</t>
  </si>
  <si>
    <t>Budowa kanalizacji deszczowej w ul.Łącznej i Okólnej (odc. od ul.Kniaziewicza do ul.St. Południowe) DN 200-500, 
L= 1 430 m</t>
  </si>
  <si>
    <t>Budowa kanalizacji deszczowej w ul. Łącznej (odc. od ul. Kniaziewicza do ul.St. Południowe) DN 200-500, L= 1430 m</t>
  </si>
  <si>
    <t>Budowa kanalizacji deszczowej w ul. Pająkowskiego (odc. od ul. Targowej do ul. Szosa Lubicka) DN 300, L=500 m</t>
  </si>
  <si>
    <t>Budowa kanalizacji deszczowej w ul. Droga Trzeposka (odc. na działce METRONU przedł. do ul. Pająkowskiego) DN 300, L=100 m</t>
  </si>
  <si>
    <t>Budowa systemu odwodnienia w ulicy Batorego, DN 200-700, L= 500 m</t>
  </si>
  <si>
    <t>Razem zadania</t>
  </si>
  <si>
    <t>Budowa przepławki na jazie na rzece Drwęcy (realizacja w przypadku uzyskania dofinansowania)</t>
  </si>
  <si>
    <t>Załącznik B</t>
  </si>
  <si>
    <t>Prognoza przepływów pieniężnych spółki Toruńskie Wodociągi Sp. z o.o. na okres 2022-2025</t>
  </si>
  <si>
    <t xml:space="preserve"> Kredyty i pożyczki</t>
  </si>
  <si>
    <t>Załącznik A - Porównanie obowiązującego planu przyjętego uchwałą RMT nr 565/21 z dnia 21 stycznia 2021 r. z przedłożoną aktualizacją na lata 2022-2026</t>
  </si>
  <si>
    <t>Załącznik D - TABELA  NR  3 - POZOSTAŁE I KANALIZACJA DESZCZOWA  - PORÓWNANIE PLANÓW</t>
  </si>
  <si>
    <t>WIELOLETNI PLAN ROZWOJU I MODERNIZACJI URZĄDZEŃ WODOCIĄGOWYCH I URZĄDZEŃ KANALIZACYJNYCH TORUŃSKICH WODOCIĄGÓW SP. Z O.O. NA LATA 2022 - 2026</t>
  </si>
  <si>
    <t>Budowa sieci kanalizacyjnej  na terenie OM Rudak C ,
Otłoczyńska, Olęderska , Rudacka, Osadnicza, Gliniecka  (2022) DN 200, L= 1500 m
Rudacka (2023) DN 200, L=600 m</t>
  </si>
  <si>
    <t>Tabela nr 3 – scalony zakres rzeczowo-finansowy</t>
  </si>
  <si>
    <t>TABELA  NR  2 - KANALIZACJA</t>
  </si>
  <si>
    <t>TABELA  NR  1 - WODOCIĄG</t>
  </si>
  <si>
    <t>Ujęcia wody - modernizacja i rozbudowa, w tym największe z nich: 
1. Mała Nieszawka - wiercenie otworów, podłączenie studni (6 240 tys. zł w latach 2022-25) 
2. Jedwabno - wiercenie otworów, podłączenie studni (2 850. tys. zł w latach 2022-25)
3. Drwęca – modernizacja stacji (2 985 tys. zł w 2022-25 )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</si>
</sst>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13.&quot;##"/>
    <numFmt numFmtId="165" formatCode="&quot;14.&quot;##"/>
    <numFmt numFmtId="166" formatCode="&quot;12.&quot;##"/>
    <numFmt numFmtId="167" formatCode="&quot;9.&quot;##"/>
    <numFmt numFmtId="168" formatCode="&quot;11.&quot;##"/>
    <numFmt numFmtId="169" formatCode="&quot;12.4.&quot;##"/>
    <numFmt numFmtId="170" formatCode="0.0000"/>
    <numFmt numFmtId="171" formatCode="#,##0.000"/>
    <numFmt numFmtId="172" formatCode="0.0%"/>
  </numFmts>
  <fonts count="10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Garamond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0"/>
      <name val="Garamond"/>
      <family val="1"/>
    </font>
    <font>
      <sz val="10"/>
      <name val="Garamond"/>
      <family val="1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1"/>
      <name val="Garamond"/>
      <family val="1"/>
      <charset val="238"/>
    </font>
    <font>
      <b/>
      <sz val="10"/>
      <color indexed="10"/>
      <name val="Garamond"/>
      <family val="1"/>
      <charset val="238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Garamond"/>
      <family val="1"/>
      <charset val="238"/>
    </font>
    <font>
      <sz val="10"/>
      <color indexed="8"/>
      <name val="Garamond"/>
      <family val="1"/>
      <charset val="238"/>
    </font>
    <font>
      <sz val="8"/>
      <color indexed="8"/>
      <name val="Arial"/>
      <family val="2"/>
      <charset val="238"/>
    </font>
    <font>
      <sz val="11"/>
      <name val="Garamond"/>
      <family val="1"/>
      <charset val="238"/>
    </font>
    <font>
      <b/>
      <i/>
      <sz val="10"/>
      <color indexed="8"/>
      <name val="Garamond"/>
      <family val="1"/>
      <charset val="238"/>
    </font>
    <font>
      <sz val="10"/>
      <color indexed="10"/>
      <name val="Garamond"/>
      <family val="1"/>
      <charset val="238"/>
    </font>
    <font>
      <sz val="10"/>
      <color indexed="50"/>
      <name val="Garamond"/>
      <family val="1"/>
      <charset val="238"/>
    </font>
    <font>
      <sz val="10"/>
      <color indexed="17"/>
      <name val="Garamond"/>
      <family val="1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b/>
      <sz val="8"/>
      <color indexed="8"/>
      <name val="Garamond"/>
      <family val="1"/>
      <charset val="238"/>
    </font>
    <font>
      <b/>
      <sz val="8"/>
      <name val="Garamond"/>
      <family val="1"/>
      <charset val="238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sz val="10"/>
      <color indexed="8"/>
      <name val="Czcionka tekstu podstawowego"/>
      <family val="2"/>
      <charset val="238"/>
    </font>
    <font>
      <b/>
      <vertAlign val="superscript"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indexed="10"/>
      <name val="Verdana"/>
      <family val="2"/>
      <charset val="238"/>
    </font>
    <font>
      <sz val="8"/>
      <color rgb="FFFFC000"/>
      <name val="Verdana"/>
      <family val="2"/>
      <charset val="238"/>
    </font>
    <font>
      <b/>
      <i/>
      <sz val="8"/>
      <name val="Verdana"/>
      <family val="2"/>
      <charset val="238"/>
    </font>
    <font>
      <sz val="10"/>
      <color theme="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b/>
      <sz val="8"/>
      <color rgb="FF0070C0"/>
      <name val="Verdana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0"/>
      <color rgb="FFFF0000"/>
      <name val="Arial CE"/>
      <charset val="238"/>
    </font>
    <font>
      <b/>
      <sz val="11"/>
      <color rgb="FF002060"/>
      <name val="Arial CE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i/>
      <sz val="12"/>
      <name val="Garamond"/>
      <family val="1"/>
      <charset val="238"/>
    </font>
    <font>
      <sz val="12"/>
      <color rgb="FFFF0000"/>
      <name val="Garamond"/>
      <family val="1"/>
    </font>
    <font>
      <sz val="11"/>
      <color rgb="FFFF0000"/>
      <name val="Arial CE"/>
      <charset val="238"/>
    </font>
    <font>
      <b/>
      <sz val="12"/>
      <color theme="0"/>
      <name val="Garamond"/>
      <family val="1"/>
      <charset val="238"/>
    </font>
    <font>
      <b/>
      <sz val="11"/>
      <name val="Garamond"/>
      <family val="1"/>
    </font>
    <font>
      <sz val="12"/>
      <color theme="0"/>
      <name val="Garamond"/>
      <family val="1"/>
      <charset val="238"/>
    </font>
    <font>
      <b/>
      <sz val="1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0"/>
      <color rgb="FFFF0000"/>
      <name val="Garamond"/>
      <family val="1"/>
      <charset val="238"/>
    </font>
    <font>
      <b/>
      <sz val="10"/>
      <color rgb="FF0070C0"/>
      <name val="Arial"/>
      <family val="2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1"/>
      <color theme="0"/>
      <name val="Arial CE"/>
      <charset val="238"/>
    </font>
    <font>
      <b/>
      <sz val="10"/>
      <color theme="0"/>
      <name val="Arial CE"/>
      <charset val="238"/>
    </font>
    <font>
      <b/>
      <sz val="8"/>
      <name val="Arial CE"/>
      <charset val="238"/>
    </font>
    <font>
      <sz val="12"/>
      <color rgb="FFFF0000"/>
      <name val="Garamond"/>
      <family val="1"/>
      <charset val="238"/>
    </font>
    <font>
      <b/>
      <sz val="12"/>
      <color rgb="FFFF0000"/>
      <name val="Garamond"/>
      <family val="1"/>
      <charset val="238"/>
    </font>
    <font>
      <sz val="8"/>
      <name val="Garamond"/>
      <family val="1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i/>
      <sz val="10"/>
      <name val="Garamond"/>
      <family val="1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FF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34">
    <xf numFmtId="0" fontId="0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>
      <alignment vertical="center" wrapText="1"/>
    </xf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</cellStyleXfs>
  <cellXfs count="1735">
    <xf numFmtId="0" fontId="0" fillId="0" borderId="0" xfId="0"/>
    <xf numFmtId="0" fontId="9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5" fillId="0" borderId="0" xfId="0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0" xfId="0" applyFont="1" applyFill="1" applyBorder="1"/>
    <xf numFmtId="0" fontId="5" fillId="0" borderId="4" xfId="0" applyFont="1" applyFill="1" applyBorder="1"/>
    <xf numFmtId="3" fontId="5" fillId="0" borderId="5" xfId="0" applyNumberFormat="1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3" fontId="5" fillId="0" borderId="8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Fill="1" applyBorder="1"/>
    <xf numFmtId="3" fontId="0" fillId="0" borderId="8" xfId="0" applyNumberFormat="1" applyFill="1" applyBorder="1"/>
    <xf numFmtId="3" fontId="21" fillId="0" borderId="16" xfId="6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13" fillId="0" borderId="0" xfId="6" applyFont="1" applyFill="1" applyBorder="1" applyAlignment="1">
      <alignment vertical="center"/>
    </xf>
    <xf numFmtId="0" fontId="9" fillId="0" borderId="0" xfId="6" applyFont="1" applyFill="1" applyBorder="1" applyAlignment="1"/>
    <xf numFmtId="0" fontId="9" fillId="2" borderId="0" xfId="6" applyFont="1" applyFill="1" applyBorder="1" applyAlignment="1">
      <alignment vertical="center"/>
    </xf>
    <xf numFmtId="3" fontId="8" fillId="2" borderId="0" xfId="6" applyNumberFormat="1" applyFont="1" applyFill="1" applyBorder="1" applyAlignment="1">
      <alignment vertical="center"/>
    </xf>
    <xf numFmtId="0" fontId="9" fillId="3" borderId="0" xfId="6" applyFont="1" applyFill="1" applyBorder="1" applyAlignment="1">
      <alignment vertical="center"/>
    </xf>
    <xf numFmtId="0" fontId="9" fillId="6" borderId="0" xfId="6" applyFont="1" applyFill="1" applyBorder="1" applyAlignment="1">
      <alignment vertical="center"/>
    </xf>
    <xf numFmtId="0" fontId="8" fillId="6" borderId="0" xfId="6" applyFont="1" applyFill="1" applyBorder="1" applyAlignment="1">
      <alignment vertical="center"/>
    </xf>
    <xf numFmtId="0" fontId="8" fillId="3" borderId="0" xfId="6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3" fillId="2" borderId="0" xfId="6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5" fillId="2" borderId="0" xfId="0" applyFont="1" applyFill="1"/>
    <xf numFmtId="0" fontId="20" fillId="2" borderId="0" xfId="6" applyFont="1" applyFill="1" applyBorder="1" applyAlignment="1">
      <alignment vertical="center"/>
    </xf>
    <xf numFmtId="0" fontId="21" fillId="2" borderId="0" xfId="6" applyFont="1" applyFill="1" applyBorder="1" applyAlignment="1">
      <alignment vertical="center"/>
    </xf>
    <xf numFmtId="0" fontId="20" fillId="2" borderId="16" xfId="6" applyFont="1" applyFill="1" applyBorder="1" applyAlignment="1">
      <alignment horizontal="center" vertical="center" textRotation="90"/>
    </xf>
    <xf numFmtId="0" fontId="20" fillId="2" borderId="16" xfId="6" applyFont="1" applyFill="1" applyBorder="1" applyAlignment="1">
      <alignment horizontal="center" vertical="center" wrapText="1"/>
    </xf>
    <xf numFmtId="0" fontId="21" fillId="2" borderId="16" xfId="6" applyFont="1" applyFill="1" applyBorder="1" applyAlignment="1">
      <alignment vertical="center"/>
    </xf>
    <xf numFmtId="0" fontId="20" fillId="2" borderId="16" xfId="6" quotePrefix="1" applyFont="1" applyFill="1" applyBorder="1" applyAlignment="1">
      <alignment horizontal="center" vertical="center" wrapText="1"/>
    </xf>
    <xf numFmtId="3" fontId="21" fillId="2" borderId="16" xfId="6" applyNumberFormat="1" applyFont="1" applyFill="1" applyBorder="1" applyAlignment="1">
      <alignment horizontal="right" vertical="center" wrapText="1"/>
    </xf>
    <xf numFmtId="0" fontId="20" fillId="2" borderId="16" xfId="6" applyFont="1" applyFill="1" applyBorder="1" applyAlignment="1">
      <alignment vertical="center"/>
    </xf>
    <xf numFmtId="3" fontId="20" fillId="2" borderId="16" xfId="6" applyNumberFormat="1" applyFont="1" applyFill="1" applyBorder="1" applyAlignment="1">
      <alignment vertical="center"/>
    </xf>
    <xf numFmtId="3" fontId="21" fillId="2" borderId="16" xfId="6" applyNumberFormat="1" applyFont="1" applyFill="1" applyBorder="1" applyAlignment="1">
      <alignment horizontal="right" vertical="center"/>
    </xf>
    <xf numFmtId="3" fontId="21" fillId="2" borderId="16" xfId="6" applyNumberFormat="1" applyFont="1" applyFill="1" applyBorder="1" applyAlignment="1">
      <alignment vertical="center"/>
    </xf>
    <xf numFmtId="3" fontId="22" fillId="2" borderId="16" xfId="6" applyNumberFormat="1" applyFont="1" applyFill="1" applyBorder="1" applyAlignment="1">
      <alignment vertical="center"/>
    </xf>
    <xf numFmtId="3" fontId="20" fillId="2" borderId="16" xfId="6" applyNumberFormat="1" applyFont="1" applyFill="1" applyBorder="1" applyAlignment="1"/>
    <xf numFmtId="0" fontId="21" fillId="2" borderId="16" xfId="6" applyFont="1" applyFill="1" applyBorder="1" applyAlignment="1"/>
    <xf numFmtId="0" fontId="8" fillId="2" borderId="18" xfId="6" applyFont="1" applyFill="1" applyBorder="1" applyAlignment="1">
      <alignment vertical="center"/>
    </xf>
    <xf numFmtId="0" fontId="9" fillId="2" borderId="18" xfId="6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3" fontId="9" fillId="2" borderId="0" xfId="6" applyNumberFormat="1" applyFont="1" applyFill="1" applyBorder="1" applyAlignment="1">
      <alignment vertical="center"/>
    </xf>
    <xf numFmtId="0" fontId="20" fillId="2" borderId="0" xfId="6" applyFont="1" applyFill="1" applyBorder="1" applyAlignment="1">
      <alignment vertical="center" wrapText="1"/>
    </xf>
    <xf numFmtId="0" fontId="20" fillId="2" borderId="16" xfId="6" applyFont="1" applyFill="1" applyBorder="1" applyAlignment="1">
      <alignment horizontal="center" vertical="center"/>
    </xf>
    <xf numFmtId="0" fontId="21" fillId="2" borderId="16" xfId="6" applyFont="1" applyFill="1" applyBorder="1" applyAlignment="1">
      <alignment horizontal="center" vertical="center"/>
    </xf>
    <xf numFmtId="0" fontId="20" fillId="2" borderId="3" xfId="6" quotePrefix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167" fontId="21" fillId="2" borderId="16" xfId="6" applyNumberFormat="1" applyFont="1" applyFill="1" applyBorder="1" applyAlignment="1">
      <alignment horizontal="center" vertical="center"/>
    </xf>
    <xf numFmtId="0" fontId="22" fillId="2" borderId="3" xfId="6" applyFont="1" applyFill="1" applyBorder="1" applyAlignment="1">
      <alignment vertical="center" wrapText="1"/>
    </xf>
    <xf numFmtId="0" fontId="21" fillId="2" borderId="3" xfId="6" applyFont="1" applyFill="1" applyBorder="1" applyAlignment="1">
      <alignment vertical="center" wrapText="1"/>
    </xf>
    <xf numFmtId="167" fontId="21" fillId="2" borderId="16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168" fontId="21" fillId="2" borderId="16" xfId="6" applyNumberFormat="1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vertical="center" wrapText="1"/>
    </xf>
    <xf numFmtId="168" fontId="21" fillId="2" borderId="16" xfId="0" applyNumberFormat="1" applyFont="1" applyFill="1" applyBorder="1" applyAlignment="1">
      <alignment horizontal="center" vertical="center"/>
    </xf>
    <xf numFmtId="169" fontId="21" fillId="2" borderId="16" xfId="0" applyNumberFormat="1" applyFont="1" applyFill="1" applyBorder="1" applyAlignment="1">
      <alignment horizontal="center" vertical="center"/>
    </xf>
    <xf numFmtId="166" fontId="21" fillId="2" borderId="16" xfId="0" applyNumberFormat="1" applyFont="1" applyFill="1" applyBorder="1" applyAlignment="1">
      <alignment horizontal="center" vertical="center"/>
    </xf>
    <xf numFmtId="164" fontId="21" fillId="2" borderId="16" xfId="6" applyNumberFormat="1" applyFont="1" applyFill="1" applyBorder="1" applyAlignment="1">
      <alignment horizontal="center" vertical="center"/>
    </xf>
    <xf numFmtId="3" fontId="21" fillId="2" borderId="3" xfId="6" applyNumberFormat="1" applyFont="1" applyFill="1" applyBorder="1" applyAlignment="1">
      <alignment vertical="center" wrapText="1"/>
    </xf>
    <xf numFmtId="0" fontId="21" fillId="2" borderId="16" xfId="0" applyNumberFormat="1" applyFont="1" applyFill="1" applyBorder="1" applyAlignment="1">
      <alignment horizontal="center" vertical="center"/>
    </xf>
    <xf numFmtId="165" fontId="21" fillId="2" borderId="16" xfId="0" applyNumberFormat="1" applyFont="1" applyFill="1" applyBorder="1" applyAlignment="1">
      <alignment horizontal="center" vertical="center"/>
    </xf>
    <xf numFmtId="0" fontId="20" fillId="2" borderId="3" xfId="6" applyFont="1" applyFill="1" applyBorder="1" applyAlignment="1">
      <alignment horizontal="right" vertical="center" wrapText="1"/>
    </xf>
    <xf numFmtId="0" fontId="9" fillId="2" borderId="0" xfId="6" applyFont="1" applyFill="1" applyBorder="1" applyAlignment="1">
      <alignment horizontal="center" vertical="center"/>
    </xf>
    <xf numFmtId="0" fontId="25" fillId="2" borderId="0" xfId="6" applyFont="1" applyFill="1" applyBorder="1" applyAlignment="1">
      <alignment horizontal="center" vertical="center" wrapText="1"/>
    </xf>
    <xf numFmtId="0" fontId="23" fillId="2" borderId="0" xfId="6" applyFont="1" applyFill="1" applyBorder="1" applyAlignment="1">
      <alignment horizontal="left" vertical="center" wrapText="1"/>
    </xf>
    <xf numFmtId="0" fontId="24" fillId="2" borderId="0" xfId="6" applyFont="1" applyFill="1" applyBorder="1" applyAlignment="1">
      <alignment horizontal="right" vertical="center" wrapText="1"/>
    </xf>
    <xf numFmtId="0" fontId="23" fillId="2" borderId="0" xfId="6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right" vertical="center" wrapText="1"/>
    </xf>
    <xf numFmtId="3" fontId="20" fillId="8" borderId="16" xfId="6" applyNumberFormat="1" applyFont="1" applyFill="1" applyBorder="1" applyAlignment="1">
      <alignment horizontal="right" vertical="center" wrapText="1"/>
    </xf>
    <xf numFmtId="3" fontId="21" fillId="8" borderId="16" xfId="6" applyNumberFormat="1" applyFont="1" applyFill="1" applyBorder="1" applyAlignment="1">
      <alignment horizontal="right" vertical="center" wrapText="1"/>
    </xf>
    <xf numFmtId="0" fontId="20" fillId="8" borderId="16" xfId="6" applyFont="1" applyFill="1" applyBorder="1" applyAlignment="1">
      <alignment vertical="center"/>
    </xf>
    <xf numFmtId="0" fontId="13" fillId="8" borderId="0" xfId="6" applyFont="1" applyFill="1" applyBorder="1" applyAlignment="1">
      <alignment vertical="center"/>
    </xf>
    <xf numFmtId="0" fontId="23" fillId="8" borderId="2" xfId="0" applyFont="1" applyFill="1" applyBorder="1" applyAlignment="1">
      <alignment horizontal="right" vertical="center" wrapText="1"/>
    </xf>
    <xf numFmtId="3" fontId="20" fillId="8" borderId="16" xfId="6" applyNumberFormat="1" applyFont="1" applyFill="1" applyBorder="1" applyAlignment="1">
      <alignment vertical="center"/>
    </xf>
    <xf numFmtId="3" fontId="23" fillId="8" borderId="16" xfId="6" applyNumberFormat="1" applyFont="1" applyFill="1" applyBorder="1" applyAlignment="1">
      <alignment vertical="center"/>
    </xf>
    <xf numFmtId="3" fontId="23" fillId="8" borderId="16" xfId="6" applyNumberFormat="1" applyFont="1" applyFill="1" applyBorder="1" applyAlignment="1">
      <alignment horizontal="right" vertical="center"/>
    </xf>
    <xf numFmtId="0" fontId="23" fillId="8" borderId="16" xfId="6" applyFont="1" applyFill="1" applyBorder="1" applyAlignment="1">
      <alignment vertical="center"/>
    </xf>
    <xf numFmtId="3" fontId="21" fillId="8" borderId="16" xfId="6" applyNumberFormat="1" applyFont="1" applyFill="1" applyBorder="1" applyAlignment="1">
      <alignment horizontal="right" vertical="center"/>
    </xf>
    <xf numFmtId="3" fontId="20" fillId="8" borderId="16" xfId="6" applyNumberFormat="1" applyFont="1" applyFill="1" applyBorder="1" applyAlignment="1">
      <alignment horizontal="right" vertical="center"/>
    </xf>
    <xf numFmtId="0" fontId="9" fillId="0" borderId="16" xfId="6" applyFont="1" applyFill="1" applyBorder="1" applyAlignment="1">
      <alignment vertical="center"/>
    </xf>
    <xf numFmtId="168" fontId="21" fillId="4" borderId="16" xfId="0" applyNumberFormat="1" applyFont="1" applyFill="1" applyBorder="1" applyAlignment="1">
      <alignment horizontal="center" vertical="center"/>
    </xf>
    <xf numFmtId="0" fontId="21" fillId="4" borderId="3" xfId="6" applyFont="1" applyFill="1" applyBorder="1" applyAlignment="1">
      <alignment vertical="center" wrapText="1"/>
    </xf>
    <xf numFmtId="3" fontId="21" fillId="4" borderId="16" xfId="6" applyNumberFormat="1" applyFont="1" applyFill="1" applyBorder="1" applyAlignment="1">
      <alignment vertical="center"/>
    </xf>
    <xf numFmtId="3" fontId="21" fillId="4" borderId="16" xfId="6" applyNumberFormat="1" applyFont="1" applyFill="1" applyBorder="1" applyAlignment="1">
      <alignment horizontal="right" vertical="center"/>
    </xf>
    <xf numFmtId="0" fontId="21" fillId="4" borderId="16" xfId="6" applyFont="1" applyFill="1" applyBorder="1" applyAlignment="1">
      <alignment vertical="center"/>
    </xf>
    <xf numFmtId="0" fontId="9" fillId="4" borderId="0" xfId="6" applyFont="1" applyFill="1" applyBorder="1" applyAlignment="1">
      <alignment vertical="center"/>
    </xf>
    <xf numFmtId="0" fontId="8" fillId="2" borderId="16" xfId="6" applyFont="1" applyFill="1" applyBorder="1" applyAlignment="1">
      <alignment vertical="center" wrapText="1"/>
    </xf>
    <xf numFmtId="3" fontId="22" fillId="2" borderId="16" xfId="6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0" fontId="21" fillId="7" borderId="16" xfId="6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left" vertical="center" wrapText="1"/>
    </xf>
    <xf numFmtId="3" fontId="21" fillId="7" borderId="16" xfId="6" applyNumberFormat="1" applyFont="1" applyFill="1" applyBorder="1" applyAlignment="1">
      <alignment vertical="center"/>
    </xf>
    <xf numFmtId="3" fontId="21" fillId="7" borderId="16" xfId="6" applyNumberFormat="1" applyFont="1" applyFill="1" applyBorder="1" applyAlignment="1">
      <alignment horizontal="right" vertical="center"/>
    </xf>
    <xf numFmtId="0" fontId="21" fillId="7" borderId="16" xfId="6" applyFont="1" applyFill="1" applyBorder="1" applyAlignment="1">
      <alignment vertical="center"/>
    </xf>
    <xf numFmtId="0" fontId="9" fillId="7" borderId="0" xfId="6" applyFont="1" applyFill="1" applyBorder="1" applyAlignment="1">
      <alignment vertical="center"/>
    </xf>
    <xf numFmtId="167" fontId="21" fillId="7" borderId="16" xfId="6" applyNumberFormat="1" applyFont="1" applyFill="1" applyBorder="1" applyAlignment="1">
      <alignment horizontal="center" vertical="center"/>
    </xf>
    <xf numFmtId="0" fontId="22" fillId="7" borderId="3" xfId="6" applyFont="1" applyFill="1" applyBorder="1" applyAlignment="1">
      <alignment vertical="center" wrapText="1"/>
    </xf>
    <xf numFmtId="167" fontId="21" fillId="7" borderId="16" xfId="0" applyNumberFormat="1" applyFont="1" applyFill="1" applyBorder="1" applyAlignment="1">
      <alignment horizontal="center" vertical="center"/>
    </xf>
    <xf numFmtId="0" fontId="21" fillId="7" borderId="3" xfId="6" applyFont="1" applyFill="1" applyBorder="1" applyAlignment="1">
      <alignment vertical="center" wrapText="1"/>
    </xf>
    <xf numFmtId="168" fontId="21" fillId="7" borderId="16" xfId="6" applyNumberFormat="1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vertical="center" wrapText="1"/>
    </xf>
    <xf numFmtId="168" fontId="21" fillId="7" borderId="16" xfId="0" applyNumberFormat="1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169" fontId="21" fillId="7" borderId="16" xfId="0" applyNumberFormat="1" applyFont="1" applyFill="1" applyBorder="1" applyAlignment="1">
      <alignment horizontal="center" vertical="center"/>
    </xf>
    <xf numFmtId="168" fontId="21" fillId="0" borderId="16" xfId="6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3" fontId="21" fillId="0" borderId="16" xfId="6" applyNumberFormat="1" applyFont="1" applyFill="1" applyBorder="1" applyAlignment="1">
      <alignment horizontal="right" vertical="center"/>
    </xf>
    <xf numFmtId="0" fontId="21" fillId="0" borderId="16" xfId="6" applyFont="1" applyFill="1" applyBorder="1" applyAlignment="1">
      <alignment vertical="center"/>
    </xf>
    <xf numFmtId="168" fontId="21" fillId="0" borderId="16" xfId="0" applyNumberFormat="1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vertical="center" wrapText="1"/>
    </xf>
    <xf numFmtId="0" fontId="22" fillId="2" borderId="16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 wrapText="1"/>
    </xf>
    <xf numFmtId="0" fontId="49" fillId="2" borderId="0" xfId="4" applyFill="1"/>
    <xf numFmtId="0" fontId="49" fillId="0" borderId="0" xfId="4"/>
    <xf numFmtId="0" fontId="22" fillId="2" borderId="16" xfId="4" applyFont="1" applyFill="1" applyBorder="1" applyAlignment="1">
      <alignment horizontal="center" vertical="center" wrapText="1"/>
    </xf>
    <xf numFmtId="0" fontId="23" fillId="2" borderId="16" xfId="4" applyFont="1" applyFill="1" applyBorder="1" applyAlignment="1">
      <alignment horizontal="center" vertical="center" wrapText="1"/>
    </xf>
    <xf numFmtId="0" fontId="29" fillId="2" borderId="16" xfId="4" applyFont="1" applyFill="1" applyBorder="1" applyAlignment="1">
      <alignment horizontal="center" vertical="center" wrapText="1"/>
    </xf>
    <xf numFmtId="0" fontId="30" fillId="2" borderId="17" xfId="4" applyFont="1" applyFill="1" applyBorder="1" applyAlignment="1">
      <alignment horizontal="center" vertical="center" wrapText="1"/>
    </xf>
    <xf numFmtId="0" fontId="30" fillId="2" borderId="16" xfId="4" applyFont="1" applyFill="1" applyBorder="1" applyAlignment="1">
      <alignment horizontal="center" vertical="center" wrapText="1"/>
    </xf>
    <xf numFmtId="0" fontId="30" fillId="2" borderId="16" xfId="4" applyFont="1" applyFill="1" applyBorder="1" applyAlignment="1">
      <alignment horizontal="center" vertical="center"/>
    </xf>
    <xf numFmtId="0" fontId="22" fillId="2" borderId="16" xfId="4" applyFont="1" applyFill="1" applyBorder="1" applyAlignment="1">
      <alignment horizontal="left" vertical="center" wrapText="1"/>
    </xf>
    <xf numFmtId="0" fontId="22" fillId="2" borderId="16" xfId="4" applyFont="1" applyFill="1" applyBorder="1" applyAlignment="1">
      <alignment wrapText="1"/>
    </xf>
    <xf numFmtId="3" fontId="32" fillId="2" borderId="16" xfId="4" applyNumberFormat="1" applyFont="1" applyFill="1" applyBorder="1" applyAlignment="1">
      <alignment vertical="center" wrapText="1"/>
    </xf>
    <xf numFmtId="3" fontId="32" fillId="2" borderId="16" xfId="4" applyNumberFormat="1" applyFont="1" applyFill="1" applyBorder="1" applyAlignment="1">
      <alignment horizontal="center" vertical="center" wrapText="1"/>
    </xf>
    <xf numFmtId="0" fontId="22" fillId="2" borderId="15" xfId="4" applyFont="1" applyFill="1" applyBorder="1" applyAlignment="1">
      <alignment vertical="center" wrapText="1"/>
    </xf>
    <xf numFmtId="0" fontId="23" fillId="2" borderId="1" xfId="4" applyFont="1" applyFill="1" applyBorder="1" applyAlignment="1">
      <alignment horizontal="right" vertical="center" wrapText="1"/>
    </xf>
    <xf numFmtId="0" fontId="23" fillId="2" borderId="3" xfId="4" applyFont="1" applyFill="1" applyBorder="1" applyAlignment="1">
      <alignment horizontal="right" vertical="center" wrapText="1"/>
    </xf>
    <xf numFmtId="3" fontId="23" fillId="2" borderId="16" xfId="4" applyNumberFormat="1" applyFont="1" applyFill="1" applyBorder="1" applyAlignment="1">
      <alignment horizontal="center" vertical="center" wrapText="1"/>
    </xf>
    <xf numFmtId="0" fontId="49" fillId="2" borderId="16" xfId="4" applyFill="1" applyBorder="1" applyAlignment="1">
      <alignment horizontal="center" vertical="center"/>
    </xf>
    <xf numFmtId="0" fontId="29" fillId="2" borderId="0" xfId="4" applyFont="1" applyFill="1" applyBorder="1" applyAlignment="1">
      <alignment horizontal="right" vertical="center" wrapText="1"/>
    </xf>
    <xf numFmtId="0" fontId="30" fillId="2" borderId="18" xfId="4" applyFont="1" applyFill="1" applyBorder="1" applyAlignment="1">
      <alignment vertical="center" wrapText="1"/>
    </xf>
    <xf numFmtId="3" fontId="29" fillId="2" borderId="0" xfId="4" applyNumberFormat="1" applyFont="1" applyFill="1" applyBorder="1" applyAlignment="1">
      <alignment horizontal="center" vertical="center" wrapText="1"/>
    </xf>
    <xf numFmtId="3" fontId="29" fillId="2" borderId="15" xfId="4" applyNumberFormat="1" applyFont="1" applyFill="1" applyBorder="1" applyAlignment="1">
      <alignment horizontal="center" vertical="center" wrapText="1"/>
    </xf>
    <xf numFmtId="0" fontId="30" fillId="2" borderId="0" xfId="4" applyFont="1" applyFill="1" applyBorder="1" applyAlignment="1">
      <alignment wrapText="1"/>
    </xf>
    <xf numFmtId="3" fontId="29" fillId="2" borderId="0" xfId="4" applyNumberFormat="1" applyFont="1" applyFill="1" applyBorder="1" applyAlignment="1">
      <alignment vertical="center" wrapText="1"/>
    </xf>
    <xf numFmtId="3" fontId="30" fillId="2" borderId="0" xfId="4" applyNumberFormat="1" applyFont="1" applyFill="1" applyBorder="1" applyAlignment="1">
      <alignment horizontal="center" vertical="center" wrapText="1"/>
    </xf>
    <xf numFmtId="0" fontId="49" fillId="0" borderId="0" xfId="4" applyAlignment="1">
      <alignment horizontal="center" vertical="center"/>
    </xf>
    <xf numFmtId="0" fontId="30" fillId="2" borderId="0" xfId="4" applyFont="1" applyFill="1"/>
    <xf numFmtId="3" fontId="25" fillId="2" borderId="15" xfId="4" applyNumberFormat="1" applyFont="1" applyFill="1" applyBorder="1" applyAlignment="1">
      <alignment horizontal="center" vertical="center" wrapText="1"/>
    </xf>
    <xf numFmtId="0" fontId="30" fillId="2" borderId="0" xfId="4" applyFont="1" applyFill="1" applyAlignment="1">
      <alignment horizontal="center"/>
    </xf>
    <xf numFmtId="0" fontId="29" fillId="2" borderId="32" xfId="4" applyFont="1" applyFill="1" applyBorder="1"/>
    <xf numFmtId="0" fontId="29" fillId="2" borderId="33" xfId="4" applyFont="1" applyFill="1" applyBorder="1"/>
    <xf numFmtId="0" fontId="30" fillId="2" borderId="16" xfId="4" applyFont="1" applyFill="1" applyBorder="1" applyAlignment="1">
      <alignment horizontal="center"/>
    </xf>
    <xf numFmtId="0" fontId="30" fillId="2" borderId="21" xfId="4" applyFont="1" applyFill="1" applyBorder="1" applyAlignment="1">
      <alignment horizontal="center"/>
    </xf>
    <xf numFmtId="0" fontId="29" fillId="2" borderId="34" xfId="4" applyFont="1" applyFill="1" applyBorder="1"/>
    <xf numFmtId="0" fontId="29" fillId="2" borderId="35" xfId="4" applyFont="1" applyFill="1" applyBorder="1"/>
    <xf numFmtId="0" fontId="33" fillId="2" borderId="36" xfId="4" applyFont="1" applyFill="1" applyBorder="1"/>
    <xf numFmtId="0" fontId="33" fillId="2" borderId="37" xfId="4" applyFont="1" applyFill="1" applyBorder="1" applyAlignment="1">
      <alignment horizontal="center"/>
    </xf>
    <xf numFmtId="0" fontId="29" fillId="2" borderId="19" xfId="4" applyFont="1" applyFill="1" applyBorder="1"/>
    <xf numFmtId="0" fontId="29" fillId="2" borderId="20" xfId="4" applyFont="1" applyFill="1" applyBorder="1" applyAlignment="1">
      <alignment horizontal="center"/>
    </xf>
    <xf numFmtId="0" fontId="30" fillId="2" borderId="38" xfId="4" applyFont="1" applyFill="1" applyBorder="1" applyAlignment="1">
      <alignment horizontal="left"/>
    </xf>
    <xf numFmtId="0" fontId="30" fillId="2" borderId="3" xfId="4" applyFont="1" applyFill="1" applyBorder="1" applyAlignment="1">
      <alignment horizontal="left"/>
    </xf>
    <xf numFmtId="0" fontId="30" fillId="2" borderId="16" xfId="4" applyFont="1" applyFill="1" applyBorder="1"/>
    <xf numFmtId="3" fontId="34" fillId="2" borderId="16" xfId="4" applyNumberFormat="1" applyFont="1" applyFill="1" applyBorder="1"/>
    <xf numFmtId="0" fontId="34" fillId="2" borderId="21" xfId="4" applyFont="1" applyFill="1" applyBorder="1" applyAlignment="1">
      <alignment horizontal="center"/>
    </xf>
    <xf numFmtId="0" fontId="30" fillId="2" borderId="25" xfId="4" applyFont="1" applyFill="1" applyBorder="1" applyAlignment="1">
      <alignment horizontal="left"/>
    </xf>
    <xf numFmtId="0" fontId="30" fillId="2" borderId="22" xfId="4" applyFont="1" applyFill="1" applyBorder="1" applyAlignment="1">
      <alignment horizontal="left"/>
    </xf>
    <xf numFmtId="0" fontId="30" fillId="2" borderId="22" xfId="4" applyFont="1" applyFill="1" applyBorder="1"/>
    <xf numFmtId="0" fontId="35" fillId="2" borderId="22" xfId="4" applyFont="1" applyFill="1" applyBorder="1"/>
    <xf numFmtId="0" fontId="36" fillId="2" borderId="23" xfId="4" applyFont="1" applyFill="1" applyBorder="1" applyAlignment="1">
      <alignment horizontal="center"/>
    </xf>
    <xf numFmtId="3" fontId="49" fillId="0" borderId="0" xfId="4" applyNumberFormat="1"/>
    <xf numFmtId="0" fontId="49" fillId="0" borderId="0" xfId="4" applyAlignment="1">
      <alignment horizontal="center"/>
    </xf>
    <xf numFmtId="0" fontId="49" fillId="2" borderId="0" xfId="4" applyFill="1" applyAlignment="1">
      <alignment horizontal="center"/>
    </xf>
    <xf numFmtId="0" fontId="22" fillId="0" borderId="16" xfId="4" applyFont="1" applyFill="1" applyBorder="1" applyAlignment="1">
      <alignment horizontal="left" vertical="center" wrapText="1"/>
    </xf>
    <xf numFmtId="0" fontId="22" fillId="0" borderId="16" xfId="4" applyFont="1" applyFill="1" applyBorder="1" applyAlignment="1">
      <alignment vertical="center" wrapText="1"/>
    </xf>
    <xf numFmtId="3" fontId="22" fillId="0" borderId="16" xfId="4" applyNumberFormat="1" applyFont="1" applyFill="1" applyBorder="1" applyAlignment="1">
      <alignment horizontal="center" vertical="center" wrapText="1"/>
    </xf>
    <xf numFmtId="0" fontId="22" fillId="0" borderId="16" xfId="4" applyFont="1" applyFill="1" applyBorder="1" applyAlignment="1">
      <alignment wrapText="1"/>
    </xf>
    <xf numFmtId="3" fontId="32" fillId="0" borderId="16" xfId="4" applyNumberFormat="1" applyFont="1" applyFill="1" applyBorder="1" applyAlignment="1">
      <alignment horizontal="center" vertical="center" wrapText="1"/>
    </xf>
    <xf numFmtId="0" fontId="30" fillId="0" borderId="16" xfId="4" applyFont="1" applyFill="1" applyBorder="1" applyAlignment="1">
      <alignment horizontal="center" vertical="center" wrapText="1"/>
    </xf>
    <xf numFmtId="0" fontId="30" fillId="0" borderId="16" xfId="4" applyFont="1" applyFill="1" applyBorder="1" applyAlignment="1">
      <alignment vertical="center" wrapText="1"/>
    </xf>
    <xf numFmtId="0" fontId="23" fillId="0" borderId="16" xfId="4" applyFont="1" applyFill="1" applyBorder="1" applyAlignment="1">
      <alignment horizontal="left" vertical="center" wrapText="1"/>
    </xf>
    <xf numFmtId="0" fontId="22" fillId="0" borderId="30" xfId="4" applyFont="1" applyFill="1" applyBorder="1" applyAlignment="1">
      <alignment horizontal="left" vertical="center" wrapText="1"/>
    </xf>
    <xf numFmtId="0" fontId="23" fillId="0" borderId="30" xfId="4" applyFont="1" applyFill="1" applyBorder="1" applyAlignment="1">
      <alignment horizontal="left" vertical="center" wrapText="1"/>
    </xf>
    <xf numFmtId="0" fontId="22" fillId="0" borderId="27" xfId="4" applyFont="1" applyFill="1" applyBorder="1" applyAlignment="1">
      <alignment vertical="center" wrapText="1"/>
    </xf>
    <xf numFmtId="0" fontId="22" fillId="0" borderId="15" xfId="4" applyFont="1" applyFill="1" applyBorder="1" applyAlignment="1">
      <alignment vertical="center" wrapText="1"/>
    </xf>
    <xf numFmtId="3" fontId="22" fillId="0" borderId="15" xfId="4" applyNumberFormat="1" applyFont="1" applyFill="1" applyBorder="1" applyAlignment="1">
      <alignment horizontal="center" vertical="center" wrapText="1"/>
    </xf>
    <xf numFmtId="0" fontId="22" fillId="0" borderId="15" xfId="4" applyFont="1" applyFill="1" applyBorder="1" applyAlignment="1">
      <alignment wrapText="1"/>
    </xf>
    <xf numFmtId="0" fontId="30" fillId="0" borderId="17" xfId="4" applyFont="1" applyFill="1" applyBorder="1" applyAlignment="1">
      <alignment horizontal="center" vertical="center" wrapText="1"/>
    </xf>
    <xf numFmtId="3" fontId="49" fillId="0" borderId="0" xfId="4" applyNumberFormat="1" applyAlignment="1">
      <alignment horizontal="center" vertical="center"/>
    </xf>
    <xf numFmtId="0" fontId="20" fillId="2" borderId="16" xfId="6" applyFont="1" applyFill="1" applyBorder="1" applyAlignment="1">
      <alignment horizontal="center" vertical="center" textRotation="90" wrapText="1"/>
    </xf>
    <xf numFmtId="0" fontId="20" fillId="2" borderId="1" xfId="6" applyFont="1" applyFill="1" applyBorder="1" applyAlignment="1">
      <alignment horizontal="right" vertical="center" wrapText="1"/>
    </xf>
    <xf numFmtId="0" fontId="20" fillId="2" borderId="3" xfId="6" applyFont="1" applyFill="1" applyBorder="1" applyAlignment="1">
      <alignment horizontal="center" vertical="center" wrapText="1"/>
    </xf>
    <xf numFmtId="0" fontId="29" fillId="2" borderId="39" xfId="4" applyFont="1" applyFill="1" applyBorder="1" applyAlignment="1">
      <alignment horizontal="center" wrapText="1"/>
    </xf>
    <xf numFmtId="0" fontId="29" fillId="2" borderId="16" xfId="4" applyFont="1" applyFill="1" applyBorder="1" applyAlignment="1">
      <alignment horizontal="center" wrapText="1"/>
    </xf>
    <xf numFmtId="3" fontId="49" fillId="2" borderId="0" xfId="4" applyNumberFormat="1" applyFill="1"/>
    <xf numFmtId="0" fontId="29" fillId="2" borderId="0" xfId="4" applyFont="1" applyFill="1" applyBorder="1" applyAlignment="1">
      <alignment horizontal="center" vertical="center"/>
    </xf>
    <xf numFmtId="0" fontId="30" fillId="2" borderId="0" xfId="4" applyFont="1" applyFill="1" applyBorder="1" applyAlignment="1">
      <alignment horizontal="center"/>
    </xf>
    <xf numFmtId="0" fontId="33" fillId="2" borderId="0" xfId="4" applyFont="1" applyFill="1" applyBorder="1" applyAlignment="1">
      <alignment horizontal="center"/>
    </xf>
    <xf numFmtId="0" fontId="29" fillId="2" borderId="0" xfId="4" applyFont="1" applyFill="1" applyBorder="1" applyAlignment="1">
      <alignment horizontal="center"/>
    </xf>
    <xf numFmtId="0" fontId="34" fillId="2" borderId="0" xfId="4" applyFont="1" applyFill="1" applyBorder="1" applyAlignment="1">
      <alignment horizontal="center"/>
    </xf>
    <xf numFmtId="0" fontId="36" fillId="2" borderId="0" xfId="4" applyFont="1" applyFill="1" applyBorder="1" applyAlignment="1">
      <alignment horizontal="center"/>
    </xf>
    <xf numFmtId="0" fontId="49" fillId="2" borderId="16" xfId="4" applyFill="1" applyBorder="1"/>
    <xf numFmtId="4" fontId="10" fillId="2" borderId="0" xfId="0" applyNumberFormat="1" applyFont="1" applyFill="1" applyAlignment="1">
      <alignment vertical="center"/>
    </xf>
    <xf numFmtId="0" fontId="49" fillId="2" borderId="16" xfId="4" applyFill="1" applyBorder="1" applyAlignment="1">
      <alignment vertical="center"/>
    </xf>
    <xf numFmtId="0" fontId="30" fillId="4" borderId="16" xfId="4" applyFont="1" applyFill="1" applyBorder="1" applyAlignment="1">
      <alignment horizontal="center" vertical="center" wrapText="1"/>
    </xf>
    <xf numFmtId="3" fontId="32" fillId="4" borderId="16" xfId="4" applyNumberFormat="1" applyFont="1" applyFill="1" applyBorder="1" applyAlignment="1">
      <alignment vertical="center" wrapText="1"/>
    </xf>
    <xf numFmtId="3" fontId="29" fillId="4" borderId="0" xfId="4" applyNumberFormat="1" applyFont="1" applyFill="1" applyBorder="1" applyAlignment="1">
      <alignment vertical="center" wrapText="1"/>
    </xf>
    <xf numFmtId="0" fontId="30" fillId="4" borderId="0" xfId="4" applyFont="1" applyFill="1"/>
    <xf numFmtId="0" fontId="33" fillId="4" borderId="36" xfId="4" applyFont="1" applyFill="1" applyBorder="1"/>
    <xf numFmtId="0" fontId="29" fillId="4" borderId="19" xfId="4" applyFont="1" applyFill="1" applyBorder="1"/>
    <xf numFmtId="3" fontId="34" fillId="4" borderId="16" xfId="4" applyNumberFormat="1" applyFont="1" applyFill="1" applyBorder="1"/>
    <xf numFmtId="0" fontId="35" fillId="4" borderId="22" xfId="4" applyFont="1" applyFill="1" applyBorder="1"/>
    <xf numFmtId="3" fontId="49" fillId="4" borderId="0" xfId="4" applyNumberFormat="1" applyFill="1"/>
    <xf numFmtId="0" fontId="49" fillId="4" borderId="0" xfId="4" applyFill="1"/>
    <xf numFmtId="0" fontId="29" fillId="4" borderId="16" xfId="4" applyFont="1" applyFill="1" applyBorder="1" applyAlignment="1">
      <alignment horizontal="center" vertical="center" wrapText="1"/>
    </xf>
    <xf numFmtId="3" fontId="32" fillId="4" borderId="16" xfId="4" applyNumberFormat="1" applyFont="1" applyFill="1" applyBorder="1" applyAlignment="1">
      <alignment horizontal="center" vertical="center" wrapText="1"/>
    </xf>
    <xf numFmtId="3" fontId="30" fillId="4" borderId="0" xfId="4" applyNumberFormat="1" applyFont="1" applyFill="1" applyBorder="1" applyAlignment="1">
      <alignment horizontal="center" vertical="center" wrapText="1"/>
    </xf>
    <xf numFmtId="0" fontId="30" fillId="4" borderId="0" xfId="4" applyFont="1" applyFill="1" applyAlignment="1">
      <alignment horizontal="center"/>
    </xf>
    <xf numFmtId="0" fontId="30" fillId="4" borderId="16" xfId="4" applyFont="1" applyFill="1" applyBorder="1" applyAlignment="1">
      <alignment horizontal="center"/>
    </xf>
    <xf numFmtId="0" fontId="33" fillId="4" borderId="36" xfId="4" applyFont="1" applyFill="1" applyBorder="1" applyAlignment="1">
      <alignment horizontal="center"/>
    </xf>
    <xf numFmtId="0" fontId="29" fillId="4" borderId="19" xfId="4" applyFont="1" applyFill="1" applyBorder="1" applyAlignment="1">
      <alignment horizontal="center"/>
    </xf>
    <xf numFmtId="0" fontId="34" fillId="4" borderId="16" xfId="4" applyFont="1" applyFill="1" applyBorder="1" applyAlignment="1">
      <alignment horizontal="center"/>
    </xf>
    <xf numFmtId="0" fontId="36" fillId="4" borderId="22" xfId="4" applyFont="1" applyFill="1" applyBorder="1" applyAlignment="1">
      <alignment horizontal="center"/>
    </xf>
    <xf numFmtId="0" fontId="49" fillId="4" borderId="0" xfId="4" applyFill="1" applyAlignment="1">
      <alignment horizontal="center"/>
    </xf>
    <xf numFmtId="0" fontId="31" fillId="4" borderId="16" xfId="4" applyFont="1" applyFill="1" applyBorder="1" applyAlignment="1">
      <alignment wrapText="1"/>
    </xf>
    <xf numFmtId="0" fontId="22" fillId="2" borderId="16" xfId="0" applyFont="1" applyFill="1" applyBorder="1" applyAlignment="1">
      <alignment horizontal="left" vertical="center" wrapText="1"/>
    </xf>
    <xf numFmtId="3" fontId="22" fillId="2" borderId="16" xfId="6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3" fontId="38" fillId="7" borderId="0" xfId="0" applyNumberFormat="1" applyFont="1" applyFill="1" applyAlignment="1">
      <alignment vertical="center"/>
    </xf>
    <xf numFmtId="0" fontId="38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4" fontId="38" fillId="0" borderId="0" xfId="0" applyNumberFormat="1" applyFont="1" applyFill="1" applyAlignment="1">
      <alignment vertical="center"/>
    </xf>
    <xf numFmtId="0" fontId="49" fillId="0" borderId="0" xfId="4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3" fontId="18" fillId="0" borderId="15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40" fillId="2" borderId="41" xfId="0" applyFont="1" applyFill="1" applyBorder="1" applyAlignment="1">
      <alignment horizontal="center" vertical="center" wrapText="1"/>
    </xf>
    <xf numFmtId="0" fontId="40" fillId="2" borderId="37" xfId="0" applyFont="1" applyFill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/>
    </xf>
    <xf numFmtId="3" fontId="40" fillId="0" borderId="37" xfId="0" applyNumberFormat="1" applyFont="1" applyBorder="1" applyAlignment="1">
      <alignment horizontal="center" vertical="center"/>
    </xf>
    <xf numFmtId="0" fontId="40" fillId="2" borderId="43" xfId="0" applyFont="1" applyFill="1" applyBorder="1" applyAlignment="1">
      <alignment vertical="center" wrapText="1"/>
    </xf>
    <xf numFmtId="3" fontId="40" fillId="2" borderId="37" xfId="0" applyNumberFormat="1" applyFont="1" applyFill="1" applyBorder="1" applyAlignment="1">
      <alignment horizontal="center" vertical="center" wrapText="1"/>
    </xf>
    <xf numFmtId="3" fontId="40" fillId="0" borderId="37" xfId="0" applyNumberFormat="1" applyFont="1" applyBorder="1" applyAlignment="1">
      <alignment horizontal="center" vertical="center" wrapText="1"/>
    </xf>
    <xf numFmtId="0" fontId="41" fillId="4" borderId="16" xfId="4" applyFont="1" applyFill="1" applyBorder="1" applyAlignment="1">
      <alignment horizontal="center" vertical="center" wrapText="1"/>
    </xf>
    <xf numFmtId="0" fontId="41" fillId="9" borderId="16" xfId="4" applyFont="1" applyFill="1" applyBorder="1" applyAlignment="1">
      <alignment horizontal="center" vertical="center" wrapText="1"/>
    </xf>
    <xf numFmtId="0" fontId="41" fillId="2" borderId="16" xfId="4" applyFont="1" applyFill="1" applyBorder="1" applyAlignment="1">
      <alignment horizontal="center" vertical="center" wrapText="1"/>
    </xf>
    <xf numFmtId="0" fontId="49" fillId="0" borderId="0" xfId="4" applyAlignment="1">
      <alignment wrapText="1"/>
    </xf>
    <xf numFmtId="0" fontId="30" fillId="2" borderId="17" xfId="4" applyFont="1" applyFill="1" applyBorder="1" applyAlignment="1">
      <alignment horizontal="center" wrapText="1"/>
    </xf>
    <xf numFmtId="0" fontId="30" fillId="2" borderId="16" xfId="4" applyFont="1" applyFill="1" applyBorder="1" applyAlignment="1">
      <alignment horizontal="center" wrapText="1"/>
    </xf>
    <xf numFmtId="0" fontId="43" fillId="2" borderId="16" xfId="4" applyFont="1" applyFill="1" applyBorder="1" applyAlignment="1">
      <alignment horizontal="center"/>
    </xf>
    <xf numFmtId="0" fontId="43" fillId="0" borderId="0" xfId="4" applyFont="1" applyAlignment="1">
      <alignment horizontal="center"/>
    </xf>
    <xf numFmtId="3" fontId="32" fillId="5" borderId="16" xfId="4" applyNumberFormat="1" applyFont="1" applyFill="1" applyBorder="1" applyAlignment="1">
      <alignment horizontal="center" vertical="center" wrapText="1"/>
    </xf>
    <xf numFmtId="0" fontId="22" fillId="8" borderId="16" xfId="4" applyFont="1" applyFill="1" applyBorder="1" applyAlignment="1">
      <alignment horizontal="left" vertical="center" wrapText="1"/>
    </xf>
    <xf numFmtId="0" fontId="29" fillId="9" borderId="16" xfId="4" applyFont="1" applyFill="1" applyBorder="1" applyAlignment="1">
      <alignment horizontal="center" vertical="center" wrapText="1"/>
    </xf>
    <xf numFmtId="0" fontId="30" fillId="9" borderId="16" xfId="4" applyFont="1" applyFill="1" applyBorder="1" applyAlignment="1">
      <alignment horizontal="center" vertical="center" wrapText="1"/>
    </xf>
    <xf numFmtId="3" fontId="32" fillId="9" borderId="16" xfId="4" applyNumberFormat="1" applyFont="1" applyFill="1" applyBorder="1" applyAlignment="1">
      <alignment horizontal="center" vertical="center" wrapText="1"/>
    </xf>
    <xf numFmtId="3" fontId="30" fillId="9" borderId="0" xfId="4" applyNumberFormat="1" applyFont="1" applyFill="1" applyBorder="1" applyAlignment="1">
      <alignment horizontal="center" vertical="center" wrapText="1"/>
    </xf>
    <xf numFmtId="0" fontId="30" fillId="9" borderId="0" xfId="4" applyFont="1" applyFill="1" applyAlignment="1">
      <alignment horizontal="center"/>
    </xf>
    <xf numFmtId="0" fontId="29" fillId="9" borderId="0" xfId="4" applyFont="1" applyFill="1" applyBorder="1" applyAlignment="1">
      <alignment horizontal="center" vertical="center"/>
    </xf>
    <xf numFmtId="0" fontId="30" fillId="9" borderId="0" xfId="4" applyFont="1" applyFill="1" applyBorder="1" applyAlignment="1">
      <alignment horizontal="center"/>
    </xf>
    <xf numFmtId="0" fontId="33" fillId="9" borderId="0" xfId="4" applyFont="1" applyFill="1" applyBorder="1" applyAlignment="1">
      <alignment horizontal="center"/>
    </xf>
    <xf numFmtId="0" fontId="29" fillId="9" borderId="0" xfId="4" applyFont="1" applyFill="1" applyBorder="1" applyAlignment="1">
      <alignment horizontal="center"/>
    </xf>
    <xf numFmtId="0" fontId="34" fillId="9" borderId="0" xfId="4" applyFont="1" applyFill="1" applyBorder="1" applyAlignment="1">
      <alignment horizontal="center"/>
    </xf>
    <xf numFmtId="0" fontId="36" fillId="9" borderId="0" xfId="4" applyFont="1" applyFill="1" applyBorder="1" applyAlignment="1">
      <alignment horizontal="center"/>
    </xf>
    <xf numFmtId="0" fontId="49" fillId="9" borderId="0" xfId="4" applyFill="1" applyAlignment="1">
      <alignment horizontal="center"/>
    </xf>
    <xf numFmtId="0" fontId="30" fillId="9" borderId="1" xfId="4" applyFont="1" applyFill="1" applyBorder="1" applyAlignment="1">
      <alignment horizontal="center"/>
    </xf>
    <xf numFmtId="0" fontId="30" fillId="9" borderId="21" xfId="4" applyFont="1" applyFill="1" applyBorder="1" applyAlignment="1">
      <alignment horizontal="center"/>
    </xf>
    <xf numFmtId="0" fontId="33" fillId="9" borderId="33" xfId="4" applyFont="1" applyFill="1" applyBorder="1" applyAlignment="1">
      <alignment horizontal="center"/>
    </xf>
    <xf numFmtId="0" fontId="33" fillId="9" borderId="37" xfId="4" applyFont="1" applyFill="1" applyBorder="1" applyAlignment="1">
      <alignment horizontal="center"/>
    </xf>
    <xf numFmtId="0" fontId="29" fillId="9" borderId="39" xfId="4" applyFont="1" applyFill="1" applyBorder="1" applyAlignment="1">
      <alignment horizontal="center"/>
    </xf>
    <xf numFmtId="0" fontId="29" fillId="9" borderId="20" xfId="4" applyFont="1" applyFill="1" applyBorder="1" applyAlignment="1">
      <alignment horizontal="center"/>
    </xf>
    <xf numFmtId="0" fontId="34" fillId="9" borderId="1" xfId="4" applyFont="1" applyFill="1" applyBorder="1" applyAlignment="1">
      <alignment horizontal="center"/>
    </xf>
    <xf numFmtId="0" fontId="34" fillId="9" borderId="21" xfId="4" applyFont="1" applyFill="1" applyBorder="1" applyAlignment="1">
      <alignment horizontal="center"/>
    </xf>
    <xf numFmtId="0" fontId="36" fillId="9" borderId="44" xfId="4" applyFont="1" applyFill="1" applyBorder="1" applyAlignment="1">
      <alignment horizontal="center"/>
    </xf>
    <xf numFmtId="0" fontId="36" fillId="9" borderId="23" xfId="4" applyFont="1" applyFill="1" applyBorder="1" applyAlignment="1">
      <alignment horizontal="center"/>
    </xf>
    <xf numFmtId="0" fontId="22" fillId="9" borderId="16" xfId="4" applyFont="1" applyFill="1" applyBorder="1" applyAlignment="1">
      <alignment horizontal="left" vertical="center" wrapText="1"/>
    </xf>
    <xf numFmtId="0" fontId="29" fillId="9" borderId="16" xfId="4" applyFont="1" applyFill="1" applyBorder="1" applyAlignment="1">
      <alignment horizontal="center" vertical="center" textRotation="90" wrapText="1"/>
    </xf>
    <xf numFmtId="0" fontId="30" fillId="2" borderId="1" xfId="4" applyFont="1" applyFill="1" applyBorder="1" applyAlignment="1">
      <alignment horizontal="center"/>
    </xf>
    <xf numFmtId="0" fontId="33" fillId="2" borderId="33" xfId="4" applyFont="1" applyFill="1" applyBorder="1" applyAlignment="1">
      <alignment horizontal="center"/>
    </xf>
    <xf numFmtId="0" fontId="29" fillId="2" borderId="39" xfId="4" applyFont="1" applyFill="1" applyBorder="1" applyAlignment="1">
      <alignment horizontal="center"/>
    </xf>
    <xf numFmtId="0" fontId="34" fillId="2" borderId="1" xfId="4" applyFont="1" applyFill="1" applyBorder="1" applyAlignment="1">
      <alignment horizontal="center"/>
    </xf>
    <xf numFmtId="0" fontId="36" fillId="2" borderId="44" xfId="4" applyFont="1" applyFill="1" applyBorder="1" applyAlignment="1">
      <alignment horizontal="center"/>
    </xf>
    <xf numFmtId="0" fontId="29" fillId="2" borderId="16" xfId="4" applyFont="1" applyFill="1" applyBorder="1" applyAlignment="1">
      <alignment vertical="center" wrapText="1"/>
    </xf>
    <xf numFmtId="3" fontId="49" fillId="9" borderId="0" xfId="4" applyNumberFormat="1" applyFill="1" applyAlignment="1">
      <alignment horizontal="center"/>
    </xf>
    <xf numFmtId="3" fontId="36" fillId="9" borderId="0" xfId="4" applyNumberFormat="1" applyFont="1" applyFill="1" applyBorder="1" applyAlignment="1">
      <alignment horizontal="center"/>
    </xf>
    <xf numFmtId="3" fontId="46" fillId="9" borderId="0" xfId="4" applyNumberFormat="1" applyFont="1" applyFill="1" applyAlignment="1">
      <alignment horizontal="center"/>
    </xf>
    <xf numFmtId="0" fontId="46" fillId="9" borderId="0" xfId="4" applyFont="1" applyFill="1" applyAlignment="1">
      <alignment horizontal="center"/>
    </xf>
    <xf numFmtId="0" fontId="45" fillId="2" borderId="16" xfId="0" applyFont="1" applyFill="1" applyBorder="1" applyAlignment="1">
      <alignment horizontal="left" vertical="center" wrapText="1"/>
    </xf>
    <xf numFmtId="0" fontId="44" fillId="2" borderId="16" xfId="4" applyFont="1" applyFill="1" applyBorder="1" applyAlignment="1">
      <alignment horizontal="left"/>
    </xf>
    <xf numFmtId="0" fontId="45" fillId="0" borderId="15" xfId="0" applyFont="1" applyFill="1" applyBorder="1" applyAlignment="1">
      <alignment horizontal="left" vertical="center" wrapText="1"/>
    </xf>
    <xf numFmtId="0" fontId="45" fillId="2" borderId="17" xfId="0" applyFont="1" applyFill="1" applyBorder="1" applyAlignment="1">
      <alignment horizontal="left" vertical="center" wrapText="1"/>
    </xf>
    <xf numFmtId="0" fontId="45" fillId="2" borderId="16" xfId="0" applyFont="1" applyFill="1" applyBorder="1" applyAlignment="1">
      <alignment horizontal="left" wrapText="1"/>
    </xf>
    <xf numFmtId="0" fontId="45" fillId="0" borderId="0" xfId="0" applyFont="1" applyAlignment="1">
      <alignment horizontal="left"/>
    </xf>
    <xf numFmtId="0" fontId="29" fillId="2" borderId="16" xfId="4" applyFont="1" applyFill="1" applyBorder="1" applyAlignment="1">
      <alignment horizontal="center" vertical="center" textRotation="90" wrapText="1"/>
    </xf>
    <xf numFmtId="3" fontId="36" fillId="2" borderId="0" xfId="4" applyNumberFormat="1" applyFont="1" applyFill="1" applyBorder="1" applyAlignment="1">
      <alignment horizontal="center"/>
    </xf>
    <xf numFmtId="3" fontId="49" fillId="2" borderId="0" xfId="4" applyNumberFormat="1" applyFill="1" applyAlignment="1">
      <alignment horizontal="center"/>
    </xf>
    <xf numFmtId="3" fontId="46" fillId="2" borderId="0" xfId="4" applyNumberFormat="1" applyFont="1" applyFill="1" applyAlignment="1">
      <alignment horizontal="center"/>
    </xf>
    <xf numFmtId="0" fontId="46" fillId="2" borderId="0" xfId="4" applyFont="1" applyFill="1" applyAlignment="1">
      <alignment horizontal="center"/>
    </xf>
    <xf numFmtId="0" fontId="22" fillId="0" borderId="15" xfId="0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left" wrapText="1"/>
    </xf>
    <xf numFmtId="0" fontId="22" fillId="0" borderId="0" xfId="0" applyFont="1" applyAlignment="1">
      <alignment horizontal="left"/>
    </xf>
    <xf numFmtId="0" fontId="23" fillId="2" borderId="1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vertical="top" wrapText="1"/>
    </xf>
    <xf numFmtId="0" fontId="23" fillId="2" borderId="16" xfId="0" applyFont="1" applyFill="1" applyBorder="1" applyAlignment="1">
      <alignment horizontal="center" vertical="center"/>
    </xf>
    <xf numFmtId="0" fontId="42" fillId="2" borderId="16" xfId="0" applyFont="1" applyFill="1" applyBorder="1" applyAlignment="1">
      <alignment horizontal="center" vertical="center" wrapText="1"/>
    </xf>
    <xf numFmtId="0" fontId="23" fillId="4" borderId="16" xfId="4" applyFont="1" applyFill="1" applyBorder="1" applyAlignment="1">
      <alignment horizontal="center" vertical="center" textRotation="90" wrapText="1"/>
    </xf>
    <xf numFmtId="0" fontId="23" fillId="2" borderId="16" xfId="4" applyFont="1" applyFill="1" applyBorder="1" applyAlignment="1">
      <alignment horizontal="center" vertical="center" textRotation="90" wrapText="1"/>
    </xf>
    <xf numFmtId="0" fontId="29" fillId="2" borderId="45" xfId="4" applyFont="1" applyFill="1" applyBorder="1" applyAlignment="1">
      <alignment vertical="center" wrapText="1"/>
    </xf>
    <xf numFmtId="0" fontId="29" fillId="2" borderId="18" xfId="4" applyFont="1" applyFill="1" applyBorder="1" applyAlignment="1">
      <alignment vertical="center" wrapText="1"/>
    </xf>
    <xf numFmtId="0" fontId="29" fillId="2" borderId="3" xfId="4" applyFont="1" applyFill="1" applyBorder="1" applyAlignment="1">
      <alignment vertical="center" wrapText="1"/>
    </xf>
    <xf numFmtId="0" fontId="22" fillId="2" borderId="16" xfId="0" applyFont="1" applyFill="1" applyBorder="1" applyAlignment="1">
      <alignment horizontal="center" vertical="center" wrapText="1"/>
    </xf>
    <xf numFmtId="3" fontId="22" fillId="0" borderId="16" xfId="6" applyNumberFormat="1" applyFont="1" applyFill="1" applyBorder="1" applyAlignment="1">
      <alignment horizontal="center" vertical="center"/>
    </xf>
    <xf numFmtId="3" fontId="23" fillId="0" borderId="16" xfId="6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/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3" fontId="26" fillId="7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3" fontId="5" fillId="5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15" fillId="0" borderId="45" xfId="0" applyFont="1" applyFill="1" applyBorder="1" applyAlignment="1"/>
    <xf numFmtId="3" fontId="5" fillId="0" borderId="0" xfId="0" applyNumberFormat="1" applyFont="1" applyFill="1" applyBorder="1"/>
    <xf numFmtId="0" fontId="19" fillId="0" borderId="0" xfId="0" applyFont="1" applyAlignment="1">
      <alignment vertical="distributed"/>
    </xf>
    <xf numFmtId="0" fontId="19" fillId="0" borderId="16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0" fillId="0" borderId="5" xfId="0" applyBorder="1"/>
    <xf numFmtId="3" fontId="0" fillId="0" borderId="5" xfId="0" applyNumberFormat="1" applyBorder="1"/>
    <xf numFmtId="0" fontId="0" fillId="0" borderId="8" xfId="0" applyBorder="1"/>
    <xf numFmtId="3" fontId="0" fillId="0" borderId="8" xfId="0" applyNumberFormat="1" applyBorder="1"/>
    <xf numFmtId="0" fontId="5" fillId="0" borderId="7" xfId="0" applyFont="1" applyFill="1" applyBorder="1" applyAlignment="1">
      <alignment horizontal="left" indent="1"/>
    </xf>
    <xf numFmtId="3" fontId="0" fillId="10" borderId="8" xfId="0" applyNumberFormat="1" applyFill="1" applyBorder="1"/>
    <xf numFmtId="0" fontId="0" fillId="0" borderId="8" xfId="0" applyNumberFormat="1" applyBorder="1"/>
    <xf numFmtId="10" fontId="0" fillId="11" borderId="8" xfId="0" applyNumberFormat="1" applyFill="1" applyBorder="1"/>
    <xf numFmtId="10" fontId="0" fillId="0" borderId="8" xfId="0" applyNumberFormat="1" applyBorder="1"/>
    <xf numFmtId="0" fontId="0" fillId="0" borderId="10" xfId="0" applyBorder="1"/>
    <xf numFmtId="0" fontId="0" fillId="0" borderId="11" xfId="0" applyBorder="1"/>
    <xf numFmtId="0" fontId="0" fillId="0" borderId="11" xfId="0" applyNumberFormat="1" applyBorder="1"/>
    <xf numFmtId="0" fontId="18" fillId="0" borderId="0" xfId="0" applyFont="1"/>
    <xf numFmtId="0" fontId="10" fillId="0" borderId="0" xfId="0" applyFont="1" applyFill="1" applyBorder="1"/>
    <xf numFmtId="3" fontId="0" fillId="0" borderId="47" xfId="0" applyNumberFormat="1" applyBorder="1"/>
    <xf numFmtId="0" fontId="0" fillId="0" borderId="48" xfId="0" applyBorder="1"/>
    <xf numFmtId="3" fontId="0" fillId="0" borderId="8" xfId="0" applyNumberFormat="1" applyFont="1" applyBorder="1"/>
    <xf numFmtId="3" fontId="52" fillId="2" borderId="16" xfId="0" applyNumberFormat="1" applyFont="1" applyFill="1" applyBorder="1" applyAlignment="1">
      <alignment horizontal="center" vertical="center" wrapText="1"/>
    </xf>
    <xf numFmtId="3" fontId="52" fillId="0" borderId="16" xfId="0" applyNumberFormat="1" applyFont="1" applyBorder="1" applyAlignment="1">
      <alignment horizontal="center" vertical="center"/>
    </xf>
    <xf numFmtId="0" fontId="52" fillId="2" borderId="16" xfId="0" applyFont="1" applyFill="1" applyBorder="1" applyAlignment="1">
      <alignment horizontal="left" vertical="center" wrapText="1"/>
    </xf>
    <xf numFmtId="0" fontId="52" fillId="0" borderId="0" xfId="0" applyFont="1"/>
    <xf numFmtId="0" fontId="52" fillId="0" borderId="0" xfId="0" applyFont="1" applyAlignment="1">
      <alignment vertical="center"/>
    </xf>
    <xf numFmtId="0" fontId="52" fillId="0" borderId="16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3" fillId="2" borderId="16" xfId="0" applyFont="1" applyFill="1" applyBorder="1" applyAlignment="1">
      <alignment horizontal="center" vertical="center" wrapText="1"/>
    </xf>
    <xf numFmtId="0" fontId="23" fillId="12" borderId="16" xfId="0" applyFont="1" applyFill="1" applyBorder="1" applyAlignment="1">
      <alignment horizontal="center" vertical="center"/>
    </xf>
    <xf numFmtId="0" fontId="10" fillId="12" borderId="0" xfId="6" applyFont="1" applyFill="1" applyAlignment="1">
      <alignment horizontal="left" vertical="center"/>
    </xf>
    <xf numFmtId="0" fontId="5" fillId="12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5" fillId="12" borderId="0" xfId="0" applyFont="1" applyFill="1" applyAlignment="1">
      <alignment horizontal="right"/>
    </xf>
    <xf numFmtId="0" fontId="10" fillId="12" borderId="0" xfId="0" applyFont="1" applyFill="1" applyAlignment="1">
      <alignment horizontal="right"/>
    </xf>
    <xf numFmtId="0" fontId="56" fillId="0" borderId="0" xfId="6" applyFont="1" applyFill="1" applyBorder="1" applyAlignment="1">
      <alignment horizontal="center" vertical="center" wrapText="1"/>
    </xf>
    <xf numFmtId="0" fontId="55" fillId="0" borderId="0" xfId="6" applyFont="1" applyBorder="1" applyAlignment="1">
      <alignment horizontal="center" vertical="center" wrapText="1"/>
    </xf>
    <xf numFmtId="0" fontId="56" fillId="0" borderId="0" xfId="6" applyFont="1" applyBorder="1" applyAlignment="1">
      <alignment horizontal="center" vertical="center" wrapText="1"/>
    </xf>
    <xf numFmtId="0" fontId="55" fillId="0" borderId="16" xfId="6" applyFont="1" applyFill="1" applyBorder="1" applyAlignment="1">
      <alignment horizontal="center" vertical="center"/>
    </xf>
    <xf numFmtId="3" fontId="55" fillId="0" borderId="16" xfId="6" applyNumberFormat="1" applyFont="1" applyBorder="1" applyAlignment="1">
      <alignment horizontal="center" vertical="center" wrapText="1"/>
    </xf>
    <xf numFmtId="0" fontId="55" fillId="0" borderId="45" xfId="6" applyFont="1" applyFill="1" applyBorder="1" applyAlignment="1">
      <alignment horizontal="left" vertical="center" wrapText="1" indent="1"/>
    </xf>
    <xf numFmtId="3" fontId="56" fillId="0" borderId="16" xfId="6" applyNumberFormat="1" applyFont="1" applyBorder="1" applyAlignment="1">
      <alignment horizontal="center" vertical="center" wrapText="1"/>
    </xf>
    <xf numFmtId="3" fontId="56" fillId="0" borderId="16" xfId="6" applyNumberFormat="1" applyFont="1" applyFill="1" applyBorder="1" applyAlignment="1">
      <alignment horizontal="center" vertical="center"/>
    </xf>
    <xf numFmtId="3" fontId="55" fillId="0" borderId="16" xfId="6" applyNumberFormat="1" applyFont="1" applyBorder="1" applyAlignment="1">
      <alignment horizontal="left" vertical="center" wrapText="1" indent="1"/>
    </xf>
    <xf numFmtId="0" fontId="55" fillId="0" borderId="16" xfId="7" applyFont="1" applyFill="1" applyBorder="1" applyAlignment="1">
      <alignment horizontal="left" vertical="center" wrapText="1" indent="1"/>
    </xf>
    <xf numFmtId="3" fontId="55" fillId="0" borderId="15" xfId="6" applyNumberFormat="1" applyFont="1" applyBorder="1" applyAlignment="1">
      <alignment horizontal="center" vertical="center" wrapText="1"/>
    </xf>
    <xf numFmtId="3" fontId="56" fillId="0" borderId="15" xfId="6" applyNumberFormat="1" applyFont="1" applyFill="1" applyBorder="1" applyAlignment="1">
      <alignment horizontal="center" vertical="center"/>
    </xf>
    <xf numFmtId="171" fontId="55" fillId="0" borderId="16" xfId="6" applyNumberFormat="1" applyFont="1" applyBorder="1" applyAlignment="1">
      <alignment horizontal="center" vertical="center" wrapText="1"/>
    </xf>
    <xf numFmtId="171" fontId="55" fillId="0" borderId="16" xfId="6" applyNumberFormat="1" applyFont="1" applyFill="1" applyBorder="1" applyAlignment="1">
      <alignment horizontal="center" vertical="center"/>
    </xf>
    <xf numFmtId="3" fontId="56" fillId="0" borderId="16" xfId="6" applyNumberFormat="1" applyFont="1" applyBorder="1" applyAlignment="1">
      <alignment horizontal="right" vertical="center" textRotation="90" wrapText="1"/>
    </xf>
    <xf numFmtId="3" fontId="56" fillId="0" borderId="16" xfId="6" applyNumberFormat="1" applyFont="1" applyBorder="1" applyAlignment="1">
      <alignment horizontal="center" vertical="center" textRotation="90" wrapText="1"/>
    </xf>
    <xf numFmtId="3" fontId="56" fillId="0" borderId="17" xfId="6" applyNumberFormat="1" applyFont="1" applyFill="1" applyBorder="1" applyAlignment="1">
      <alignment horizontal="center" vertical="center"/>
    </xf>
    <xf numFmtId="3" fontId="58" fillId="0" borderId="16" xfId="6" applyNumberFormat="1" applyFont="1" applyFill="1" applyBorder="1" applyAlignment="1">
      <alignment horizontal="center" vertical="center"/>
    </xf>
    <xf numFmtId="3" fontId="56" fillId="15" borderId="16" xfId="6" applyNumberFormat="1" applyFont="1" applyFill="1" applyBorder="1" applyAlignment="1">
      <alignment horizontal="center" vertical="center"/>
    </xf>
    <xf numFmtId="3" fontId="55" fillId="0" borderId="0" xfId="6" applyNumberFormat="1" applyFont="1" applyFill="1" applyBorder="1" applyAlignment="1">
      <alignment horizontal="left" vertical="center"/>
    </xf>
    <xf numFmtId="3" fontId="56" fillId="0" borderId="0" xfId="6" applyNumberFormat="1" applyFont="1" applyFill="1" applyBorder="1" applyAlignment="1">
      <alignment horizontal="center" vertical="center"/>
    </xf>
    <xf numFmtId="3" fontId="55" fillId="0" borderId="0" xfId="6" applyNumberFormat="1" applyFont="1" applyFill="1" applyBorder="1" applyAlignment="1">
      <alignment horizontal="left" vertical="center" wrapText="1"/>
    </xf>
    <xf numFmtId="3" fontId="55" fillId="0" borderId="0" xfId="6" applyNumberFormat="1" applyFont="1" applyFill="1" applyBorder="1" applyAlignment="1">
      <alignment horizontal="right" vertical="center"/>
    </xf>
    <xf numFmtId="3" fontId="55" fillId="0" borderId="0" xfId="6" applyNumberFormat="1" applyFont="1" applyFill="1" applyBorder="1" applyAlignment="1">
      <alignment horizontal="center" vertical="center"/>
    </xf>
    <xf numFmtId="171" fontId="55" fillId="0" borderId="0" xfId="6" applyNumberFormat="1" applyFont="1" applyFill="1" applyBorder="1" applyAlignment="1">
      <alignment horizontal="center" vertical="center"/>
    </xf>
    <xf numFmtId="0" fontId="55" fillId="0" borderId="0" xfId="6" applyFont="1" applyAlignment="1">
      <alignment horizontal="center" vertical="center"/>
    </xf>
    <xf numFmtId="171" fontId="55" fillId="0" borderId="0" xfId="6" applyNumberFormat="1" applyFont="1" applyAlignment="1">
      <alignment horizontal="center" vertical="center"/>
    </xf>
    <xf numFmtId="4" fontId="55" fillId="0" borderId="0" xfId="6" applyNumberFormat="1" applyFont="1" applyAlignment="1">
      <alignment horizontal="center" vertical="center"/>
    </xf>
    <xf numFmtId="0" fontId="56" fillId="0" borderId="0" xfId="6" applyFont="1" applyAlignment="1">
      <alignment horizontal="right" vertical="center"/>
    </xf>
    <xf numFmtId="3" fontId="55" fillId="0" borderId="0" xfId="6" applyNumberFormat="1" applyFont="1" applyAlignment="1">
      <alignment horizontal="center" vertical="center"/>
    </xf>
    <xf numFmtId="4" fontId="55" fillId="0" borderId="0" xfId="6" applyNumberFormat="1" applyFont="1" applyAlignment="1">
      <alignment horizontal="right" vertical="center"/>
    </xf>
    <xf numFmtId="3" fontId="61" fillId="0" borderId="0" xfId="6" applyNumberFormat="1" applyFont="1" applyAlignment="1">
      <alignment horizontal="center" vertical="center"/>
    </xf>
    <xf numFmtId="0" fontId="55" fillId="0" borderId="0" xfId="6" applyFont="1" applyAlignment="1">
      <alignment horizontal="right" vertical="center" indent="1"/>
    </xf>
    <xf numFmtId="3" fontId="56" fillId="0" borderId="0" xfId="6" applyNumberFormat="1" applyFont="1" applyAlignment="1">
      <alignment horizontal="center" vertical="center"/>
    </xf>
    <xf numFmtId="0" fontId="55" fillId="0" borderId="0" xfId="6" applyFont="1" applyAlignment="1">
      <alignment horizontal="right" vertical="center"/>
    </xf>
    <xf numFmtId="3" fontId="0" fillId="14" borderId="8" xfId="0" applyNumberFormat="1" applyFont="1" applyFill="1" applyBorder="1"/>
    <xf numFmtId="0" fontId="22" fillId="0" borderId="16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left" vertical="center" wrapText="1"/>
    </xf>
    <xf numFmtId="0" fontId="56" fillId="0" borderId="16" xfId="6" applyFont="1" applyFill="1" applyBorder="1" applyAlignment="1">
      <alignment horizontal="center" vertical="center"/>
    </xf>
    <xf numFmtId="0" fontId="56" fillId="0" borderId="1" xfId="6" applyFont="1" applyFill="1" applyBorder="1" applyAlignment="1">
      <alignment horizontal="center" vertical="center" wrapText="1"/>
    </xf>
    <xf numFmtId="0" fontId="55" fillId="0" borderId="0" xfId="19" applyFont="1"/>
    <xf numFmtId="0" fontId="55" fillId="0" borderId="58" xfId="19" applyFont="1" applyBorder="1"/>
    <xf numFmtId="0" fontId="55" fillId="0" borderId="0" xfId="19" applyFont="1" applyBorder="1"/>
    <xf numFmtId="3" fontId="55" fillId="0" borderId="0" xfId="19" applyNumberFormat="1" applyFont="1" applyAlignment="1">
      <alignment horizontal="center" vertical="center"/>
    </xf>
    <xf numFmtId="3" fontId="55" fillId="0" borderId="1" xfId="6" applyNumberFormat="1" applyFont="1" applyFill="1" applyBorder="1" applyAlignment="1">
      <alignment horizontal="center" vertical="center"/>
    </xf>
    <xf numFmtId="3" fontId="59" fillId="0" borderId="0" xfId="19" applyNumberFormat="1" applyFont="1" applyAlignment="1">
      <alignment horizontal="center" vertical="center"/>
    </xf>
    <xf numFmtId="4" fontId="55" fillId="0" borderId="0" xfId="19" applyNumberFormat="1" applyFont="1" applyAlignment="1">
      <alignment vertical="center"/>
    </xf>
    <xf numFmtId="3" fontId="55" fillId="0" borderId="0" xfId="19" applyNumberFormat="1" applyFont="1"/>
    <xf numFmtId="3" fontId="60" fillId="0" borderId="0" xfId="19" applyNumberFormat="1" applyFont="1" applyAlignment="1">
      <alignment horizontal="center" vertical="center"/>
    </xf>
    <xf numFmtId="10" fontId="55" fillId="0" borderId="0" xfId="20" applyNumberFormat="1" applyFont="1" applyAlignment="1">
      <alignment horizontal="center" vertical="center"/>
    </xf>
    <xf numFmtId="0" fontId="4" fillId="0" borderId="0" xfId="19"/>
    <xf numFmtId="0" fontId="54" fillId="14" borderId="0" xfId="6" applyFont="1" applyFill="1" applyBorder="1" applyAlignment="1">
      <alignment horizontal="center" vertical="center" wrapText="1"/>
    </xf>
    <xf numFmtId="0" fontId="56" fillId="14" borderId="0" xfId="6" applyFont="1" applyFill="1" applyBorder="1" applyAlignment="1">
      <alignment horizontal="center" vertical="center" wrapText="1"/>
    </xf>
    <xf numFmtId="0" fontId="55" fillId="14" borderId="0" xfId="6" applyFont="1" applyFill="1" applyBorder="1" applyAlignment="1">
      <alignment vertical="center"/>
    </xf>
    <xf numFmtId="170" fontId="55" fillId="14" borderId="0" xfId="6" applyNumberFormat="1" applyFont="1" applyFill="1" applyAlignment="1">
      <alignment vertical="center"/>
    </xf>
    <xf numFmtId="0" fontId="55" fillId="14" borderId="0" xfId="6" applyFont="1" applyFill="1" applyAlignment="1">
      <alignment vertical="center"/>
    </xf>
    <xf numFmtId="0" fontId="55" fillId="14" borderId="0" xfId="19" applyFont="1" applyFill="1"/>
    <xf numFmtId="0" fontId="56" fillId="14" borderId="16" xfId="6" applyFont="1" applyFill="1" applyBorder="1" applyAlignment="1">
      <alignment horizontal="center" vertical="center"/>
    </xf>
    <xf numFmtId="0" fontId="55" fillId="14" borderId="16" xfId="6" applyFont="1" applyFill="1" applyBorder="1" applyAlignment="1">
      <alignment horizontal="center" vertical="center"/>
    </xf>
    <xf numFmtId="0" fontId="56" fillId="14" borderId="0" xfId="6" applyFont="1" applyFill="1" applyBorder="1" applyAlignment="1">
      <alignment horizontal="center" vertical="center"/>
    </xf>
    <xf numFmtId="0" fontId="56" fillId="14" borderId="0" xfId="6" applyFont="1" applyFill="1" applyBorder="1" applyAlignment="1">
      <alignment horizontal="left" vertical="center" indent="1"/>
    </xf>
    <xf numFmtId="0" fontId="56" fillId="14" borderId="0" xfId="6" applyFont="1" applyFill="1" applyBorder="1" applyAlignment="1">
      <alignment horizontal="left" vertical="center" wrapText="1" indent="1"/>
    </xf>
    <xf numFmtId="3" fontId="56" fillId="14" borderId="16" xfId="6" applyNumberFormat="1" applyFont="1" applyFill="1" applyBorder="1" applyAlignment="1">
      <alignment horizontal="center" vertical="center"/>
    </xf>
    <xf numFmtId="3" fontId="56" fillId="14" borderId="0" xfId="6" applyNumberFormat="1" applyFont="1" applyFill="1" applyBorder="1" applyAlignment="1">
      <alignment horizontal="left" vertical="center" indent="1"/>
    </xf>
    <xf numFmtId="3" fontId="56" fillId="14" borderId="0" xfId="6" applyNumberFormat="1" applyFont="1" applyFill="1" applyBorder="1" applyAlignment="1">
      <alignment horizontal="left" vertical="center" wrapText="1" indent="1"/>
    </xf>
    <xf numFmtId="3" fontId="56" fillId="14" borderId="15" xfId="6" applyNumberFormat="1" applyFont="1" applyFill="1" applyBorder="1" applyAlignment="1">
      <alignment horizontal="center" vertical="center"/>
    </xf>
    <xf numFmtId="171" fontId="55" fillId="14" borderId="16" xfId="6" applyNumberFormat="1" applyFont="1" applyFill="1" applyBorder="1" applyAlignment="1">
      <alignment horizontal="center" vertical="center"/>
    </xf>
    <xf numFmtId="3" fontId="56" fillId="14" borderId="17" xfId="6" applyNumberFormat="1" applyFont="1" applyFill="1" applyBorder="1" applyAlignment="1">
      <alignment horizontal="center" vertical="center"/>
    </xf>
    <xf numFmtId="3" fontId="58" fillId="14" borderId="16" xfId="6" applyNumberFormat="1" applyFont="1" applyFill="1" applyBorder="1" applyAlignment="1">
      <alignment horizontal="center" vertical="center"/>
    </xf>
    <xf numFmtId="3" fontId="56" fillId="14" borderId="0" xfId="6" applyNumberFormat="1" applyFont="1" applyFill="1" applyBorder="1" applyAlignment="1">
      <alignment horizontal="center" vertical="center"/>
    </xf>
    <xf numFmtId="3" fontId="55" fillId="14" borderId="0" xfId="6" applyNumberFormat="1" applyFont="1" applyFill="1" applyBorder="1" applyAlignment="1">
      <alignment horizontal="center" vertical="center"/>
    </xf>
    <xf numFmtId="171" fontId="55" fillId="14" borderId="0" xfId="6" applyNumberFormat="1" applyFont="1" applyFill="1" applyBorder="1" applyAlignment="1">
      <alignment horizontal="center" vertical="center"/>
    </xf>
    <xf numFmtId="171" fontId="55" fillId="14" borderId="0" xfId="6" applyNumberFormat="1" applyFont="1" applyFill="1" applyAlignment="1">
      <alignment vertical="center"/>
    </xf>
    <xf numFmtId="171" fontId="55" fillId="14" borderId="0" xfId="19" applyNumberFormat="1" applyFont="1" applyFill="1"/>
    <xf numFmtId="171" fontId="55" fillId="14" borderId="0" xfId="6" applyNumberFormat="1" applyFont="1" applyFill="1" applyAlignment="1">
      <alignment horizontal="center" vertical="center"/>
    </xf>
    <xf numFmtId="3" fontId="55" fillId="14" borderId="0" xfId="6" applyNumberFormat="1" applyFont="1" applyFill="1" applyAlignment="1">
      <alignment horizontal="center" vertical="center"/>
    </xf>
    <xf numFmtId="0" fontId="56" fillId="14" borderId="0" xfId="6" applyFont="1" applyFill="1" applyAlignment="1">
      <alignment horizontal="center" vertical="center"/>
    </xf>
    <xf numFmtId="0" fontId="55" fillId="14" borderId="0" xfId="6" applyFont="1" applyFill="1" applyAlignment="1">
      <alignment horizontal="center" vertical="center"/>
    </xf>
    <xf numFmtId="4" fontId="55" fillId="14" borderId="0" xfId="19" applyNumberFormat="1" applyFont="1" applyFill="1" applyAlignment="1">
      <alignment vertical="center"/>
    </xf>
    <xf numFmtId="0" fontId="55" fillId="14" borderId="0" xfId="19" applyFont="1" applyFill="1" applyAlignment="1">
      <alignment horizontal="center" vertical="center"/>
    </xf>
    <xf numFmtId="3" fontId="61" fillId="14" borderId="0" xfId="6" applyNumberFormat="1" applyFont="1" applyFill="1" applyAlignment="1">
      <alignment horizontal="center" vertical="center"/>
    </xf>
    <xf numFmtId="3" fontId="56" fillId="14" borderId="0" xfId="6" applyNumberFormat="1" applyFont="1" applyFill="1" applyAlignment="1">
      <alignment horizontal="center" vertical="center"/>
    </xf>
    <xf numFmtId="4" fontId="55" fillId="14" borderId="0" xfId="6" applyNumberFormat="1" applyFont="1" applyFill="1" applyAlignment="1">
      <alignment horizontal="center" vertical="center"/>
    </xf>
    <xf numFmtId="0" fontId="4" fillId="14" borderId="0" xfId="19" applyFill="1"/>
    <xf numFmtId="0" fontId="56" fillId="0" borderId="0" xfId="19" applyFont="1"/>
    <xf numFmtId="3" fontId="56" fillId="0" borderId="0" xfId="19" applyNumberFormat="1" applyFont="1" applyAlignment="1">
      <alignment horizontal="center" vertical="center"/>
    </xf>
    <xf numFmtId="3" fontId="56" fillId="0" borderId="0" xfId="19" applyNumberFormat="1" applyFont="1" applyAlignment="1">
      <alignment vertical="center"/>
    </xf>
    <xf numFmtId="0" fontId="62" fillId="12" borderId="0" xfId="0" applyFont="1" applyFill="1"/>
    <xf numFmtId="4" fontId="62" fillId="12" borderId="0" xfId="0" applyNumberFormat="1" applyFont="1" applyFill="1"/>
    <xf numFmtId="3" fontId="64" fillId="0" borderId="8" xfId="0" applyNumberFormat="1" applyFont="1" applyFill="1" applyBorder="1"/>
    <xf numFmtId="0" fontId="55" fillId="0" borderId="0" xfId="0" applyFont="1"/>
    <xf numFmtId="0" fontId="55" fillId="0" borderId="0" xfId="0" applyFont="1" applyAlignment="1">
      <alignment vertical="center"/>
    </xf>
    <xf numFmtId="0" fontId="56" fillId="12" borderId="1" xfId="0" applyFont="1" applyFill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right" vertical="center"/>
    </xf>
    <xf numFmtId="0" fontId="65" fillId="0" borderId="16" xfId="0" applyFont="1" applyBorder="1" applyAlignment="1">
      <alignment horizontal="center" vertical="center"/>
    </xf>
    <xf numFmtId="4" fontId="55" fillId="0" borderId="0" xfId="0" applyNumberFormat="1" applyFont="1" applyAlignment="1">
      <alignment vertical="center"/>
    </xf>
    <xf numFmtId="0" fontId="55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0" xfId="0" applyFont="1"/>
    <xf numFmtId="0" fontId="54" fillId="0" borderId="0" xfId="0" applyFont="1" applyAlignment="1">
      <alignment vertical="center"/>
    </xf>
    <xf numFmtId="4" fontId="0" fillId="0" borderId="0" xfId="0" applyNumberFormat="1"/>
    <xf numFmtId="0" fontId="52" fillId="0" borderId="0" xfId="0" applyFont="1" applyFill="1" applyBorder="1" applyAlignment="1">
      <alignment vertical="center"/>
    </xf>
    <xf numFmtId="0" fontId="63" fillId="0" borderId="0" xfId="0" applyFont="1"/>
    <xf numFmtId="3" fontId="52" fillId="12" borderId="16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3" fontId="0" fillId="0" borderId="0" xfId="0" applyNumberFormat="1"/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0" fontId="10" fillId="0" borderId="0" xfId="6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23" fillId="0" borderId="1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40" xfId="0" applyFont="1" applyBorder="1" applyAlignment="1">
      <alignment vertical="center"/>
    </xf>
    <xf numFmtId="3" fontId="0" fillId="0" borderId="67" xfId="0" applyNumberFormat="1" applyBorder="1" applyAlignment="1">
      <alignment vertical="center"/>
    </xf>
    <xf numFmtId="3" fontId="0" fillId="0" borderId="68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66" xfId="0" applyNumberFormat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3" fontId="0" fillId="0" borderId="62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63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14" borderId="16" xfId="0" applyFill="1" applyBorder="1" applyAlignment="1">
      <alignment horizontal="center" vertical="center"/>
    </xf>
    <xf numFmtId="0" fontId="0" fillId="14" borderId="16" xfId="0" applyFill="1" applyBorder="1" applyAlignment="1">
      <alignment vertical="center"/>
    </xf>
    <xf numFmtId="3" fontId="0" fillId="14" borderId="62" xfId="0" applyNumberFormat="1" applyFill="1" applyBorder="1" applyAlignment="1">
      <alignment vertical="center"/>
    </xf>
    <xf numFmtId="3" fontId="0" fillId="14" borderId="16" xfId="0" applyNumberFormat="1" applyFill="1" applyBorder="1" applyAlignment="1">
      <alignment vertical="center"/>
    </xf>
    <xf numFmtId="3" fontId="0" fillId="14" borderId="63" xfId="0" applyNumberFormat="1" applyFill="1" applyBorder="1" applyAlignment="1">
      <alignment vertical="center"/>
    </xf>
    <xf numFmtId="3" fontId="0" fillId="14" borderId="3" xfId="0" applyNumberFormat="1" applyFill="1" applyBorder="1" applyAlignment="1">
      <alignment vertical="center"/>
    </xf>
    <xf numFmtId="3" fontId="0" fillId="14" borderId="1" xfId="0" applyNumberFormat="1" applyFill="1" applyBorder="1" applyAlignment="1">
      <alignment vertical="center"/>
    </xf>
    <xf numFmtId="0" fontId="0" fillId="14" borderId="0" xfId="0" applyFill="1" applyAlignment="1">
      <alignment vertical="center"/>
    </xf>
    <xf numFmtId="0" fontId="0" fillId="14" borderId="63" xfId="0" applyFill="1" applyBorder="1" applyAlignment="1">
      <alignment vertical="center"/>
    </xf>
    <xf numFmtId="0" fontId="0" fillId="14" borderId="62" xfId="0" applyFill="1" applyBorder="1" applyAlignment="1">
      <alignment vertical="center"/>
    </xf>
    <xf numFmtId="0" fontId="0" fillId="14" borderId="3" xfId="0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3" fontId="18" fillId="0" borderId="62" xfId="0" applyNumberFormat="1" applyFont="1" applyFill="1" applyBorder="1" applyAlignment="1">
      <alignment vertical="center"/>
    </xf>
    <xf numFmtId="3" fontId="18" fillId="0" borderId="16" xfId="0" applyNumberFormat="1" applyFont="1" applyFill="1" applyBorder="1" applyAlignment="1">
      <alignment vertical="center"/>
    </xf>
    <xf numFmtId="3" fontId="18" fillId="0" borderId="63" xfId="0" applyNumberFormat="1" applyFont="1" applyFill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14" borderId="15" xfId="0" applyFill="1" applyBorder="1" applyAlignment="1">
      <alignment horizontal="center" vertical="center"/>
    </xf>
    <xf numFmtId="0" fontId="18" fillId="14" borderId="15" xfId="0" applyFont="1" applyFill="1" applyBorder="1" applyAlignment="1">
      <alignment vertical="center"/>
    </xf>
    <xf numFmtId="3" fontId="18" fillId="14" borderId="64" xfId="0" applyNumberFormat="1" applyFont="1" applyFill="1" applyBorder="1" applyAlignment="1">
      <alignment vertical="center"/>
    </xf>
    <xf numFmtId="3" fontId="18" fillId="14" borderId="15" xfId="0" applyNumberFormat="1" applyFont="1" applyFill="1" applyBorder="1" applyAlignment="1">
      <alignment vertical="center"/>
    </xf>
    <xf numFmtId="3" fontId="18" fillId="14" borderId="65" xfId="0" applyNumberFormat="1" applyFont="1" applyFill="1" applyBorder="1" applyAlignment="1">
      <alignment vertical="center"/>
    </xf>
    <xf numFmtId="3" fontId="18" fillId="14" borderId="27" xfId="0" applyNumberFormat="1" applyFont="1" applyFill="1" applyBorder="1" applyAlignment="1">
      <alignment vertical="center"/>
    </xf>
    <xf numFmtId="3" fontId="18" fillId="14" borderId="30" xfId="0" applyNumberFormat="1" applyFont="1" applyFill="1" applyBorder="1" applyAlignment="1">
      <alignment vertical="center"/>
    </xf>
    <xf numFmtId="0" fontId="0" fillId="14" borderId="40" xfId="0" applyFill="1" applyBorder="1" applyAlignment="1">
      <alignment horizontal="center" vertical="center"/>
    </xf>
    <xf numFmtId="0" fontId="18" fillId="14" borderId="40" xfId="0" applyFont="1" applyFill="1" applyBorder="1" applyAlignment="1">
      <alignment vertical="center"/>
    </xf>
    <xf numFmtId="3" fontId="18" fillId="14" borderId="67" xfId="0" applyNumberFormat="1" applyFont="1" applyFill="1" applyBorder="1" applyAlignment="1">
      <alignment vertical="center"/>
    </xf>
    <xf numFmtId="3" fontId="18" fillId="14" borderId="40" xfId="0" applyNumberFormat="1" applyFont="1" applyFill="1" applyBorder="1" applyAlignment="1">
      <alignment vertical="center"/>
    </xf>
    <xf numFmtId="3" fontId="18" fillId="14" borderId="68" xfId="0" applyNumberFormat="1" applyFont="1" applyFill="1" applyBorder="1" applyAlignment="1">
      <alignment vertical="center"/>
    </xf>
    <xf numFmtId="3" fontId="18" fillId="14" borderId="69" xfId="0" applyNumberFormat="1" applyFont="1" applyFill="1" applyBorder="1" applyAlignment="1">
      <alignment vertical="center"/>
    </xf>
    <xf numFmtId="3" fontId="18" fillId="14" borderId="66" xfId="0" applyNumberFormat="1" applyFont="1" applyFill="1" applyBorder="1" applyAlignment="1">
      <alignment vertical="center"/>
    </xf>
    <xf numFmtId="3" fontId="0" fillId="14" borderId="0" xfId="0" applyNumberFormat="1" applyFill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63" xfId="0" applyNumberForma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3" fontId="0" fillId="0" borderId="63" xfId="0" applyNumberFormat="1" applyFont="1" applyBorder="1" applyAlignment="1">
      <alignment vertical="center"/>
    </xf>
    <xf numFmtId="0" fontId="18" fillId="14" borderId="0" xfId="0" applyFont="1" applyFill="1" applyAlignment="1">
      <alignment vertical="center"/>
    </xf>
    <xf numFmtId="0" fontId="18" fillId="14" borderId="16" xfId="0" applyFont="1" applyFill="1" applyBorder="1" applyAlignment="1">
      <alignment vertical="center"/>
    </xf>
    <xf numFmtId="3" fontId="18" fillId="14" borderId="3" xfId="0" applyNumberFormat="1" applyFont="1" applyFill="1" applyBorder="1" applyAlignment="1">
      <alignment vertical="center"/>
    </xf>
    <xf numFmtId="3" fontId="18" fillId="14" borderId="16" xfId="0" applyNumberFormat="1" applyFont="1" applyFill="1" applyBorder="1" applyAlignment="1">
      <alignment vertical="center"/>
    </xf>
    <xf numFmtId="3" fontId="18" fillId="14" borderId="1" xfId="0" applyNumberFormat="1" applyFont="1" applyFill="1" applyBorder="1" applyAlignment="1">
      <alignment vertical="center"/>
    </xf>
    <xf numFmtId="3" fontId="18" fillId="14" borderId="62" xfId="0" applyNumberFormat="1" applyFont="1" applyFill="1" applyBorder="1" applyAlignment="1">
      <alignment vertical="center"/>
    </xf>
    <xf numFmtId="3" fontId="18" fillId="14" borderId="63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14" borderId="16" xfId="0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14" borderId="15" xfId="0" applyFont="1" applyFill="1" applyBorder="1" applyAlignment="1">
      <alignment vertical="center" wrapText="1"/>
    </xf>
    <xf numFmtId="0" fontId="18" fillId="14" borderId="40" xfId="0" applyFont="1" applyFill="1" applyBorder="1" applyAlignment="1">
      <alignment vertical="center" wrapText="1"/>
    </xf>
    <xf numFmtId="0" fontId="18" fillId="14" borderId="16" xfId="0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vertical="center"/>
    </xf>
    <xf numFmtId="3" fontId="66" fillId="0" borderId="0" xfId="0" applyNumberFormat="1" applyFont="1" applyAlignment="1">
      <alignment vertical="center"/>
    </xf>
    <xf numFmtId="0" fontId="40" fillId="0" borderId="70" xfId="0" applyFont="1" applyBorder="1" applyAlignment="1">
      <alignment horizontal="center" vertical="center"/>
    </xf>
    <xf numFmtId="0" fontId="66" fillId="0" borderId="71" xfId="0" applyFont="1" applyBorder="1" applyAlignment="1">
      <alignment vertical="center"/>
    </xf>
    <xf numFmtId="3" fontId="66" fillId="0" borderId="71" xfId="0" applyNumberFormat="1" applyFont="1" applyBorder="1" applyAlignment="1">
      <alignment vertical="center"/>
    </xf>
    <xf numFmtId="0" fontId="40" fillId="0" borderId="71" xfId="0" applyFont="1" applyBorder="1" applyAlignment="1">
      <alignment vertical="center"/>
    </xf>
    <xf numFmtId="3" fontId="40" fillId="0" borderId="71" xfId="0" applyNumberFormat="1" applyFont="1" applyBorder="1" applyAlignment="1">
      <alignment vertical="center"/>
    </xf>
    <xf numFmtId="0" fontId="67" fillId="0" borderId="71" xfId="0" applyFont="1" applyBorder="1" applyAlignment="1">
      <alignment vertical="center"/>
    </xf>
    <xf numFmtId="3" fontId="67" fillId="0" borderId="71" xfId="0" applyNumberFormat="1" applyFont="1" applyBorder="1" applyAlignment="1">
      <alignment vertical="center"/>
    </xf>
    <xf numFmtId="0" fontId="67" fillId="0" borderId="71" xfId="0" quotePrefix="1" applyFont="1" applyBorder="1" applyAlignment="1">
      <alignment vertical="center"/>
    </xf>
    <xf numFmtId="0" fontId="40" fillId="0" borderId="72" xfId="0" applyFont="1" applyBorder="1" applyAlignment="1">
      <alignment vertical="center"/>
    </xf>
    <xf numFmtId="3" fontId="40" fillId="0" borderId="72" xfId="0" applyNumberFormat="1" applyFont="1" applyBorder="1" applyAlignment="1">
      <alignment vertical="center"/>
    </xf>
    <xf numFmtId="0" fontId="40" fillId="0" borderId="73" xfId="0" applyFont="1" applyBorder="1" applyAlignment="1">
      <alignment vertical="center"/>
    </xf>
    <xf numFmtId="3" fontId="40" fillId="0" borderId="73" xfId="0" applyNumberFormat="1" applyFont="1" applyBorder="1" applyAlignment="1">
      <alignment vertical="center"/>
    </xf>
    <xf numFmtId="0" fontId="66" fillId="0" borderId="70" xfId="0" applyFont="1" applyBorder="1" applyAlignment="1">
      <alignment vertical="center"/>
    </xf>
    <xf numFmtId="3" fontId="40" fillId="0" borderId="70" xfId="0" applyNumberFormat="1" applyFont="1" applyBorder="1" applyAlignment="1">
      <alignment vertical="center"/>
    </xf>
    <xf numFmtId="0" fontId="66" fillId="0" borderId="73" xfId="0" applyFont="1" applyBorder="1" applyAlignment="1">
      <alignment vertical="center"/>
    </xf>
    <xf numFmtId="3" fontId="66" fillId="0" borderId="73" xfId="0" applyNumberFormat="1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0" fontId="67" fillId="0" borderId="73" xfId="0" applyFont="1" applyBorder="1" applyAlignment="1">
      <alignment vertical="center"/>
    </xf>
    <xf numFmtId="3" fontId="67" fillId="0" borderId="73" xfId="0" applyNumberFormat="1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0" fontId="40" fillId="0" borderId="74" xfId="0" applyFont="1" applyBorder="1" applyAlignment="1">
      <alignment horizontal="center" vertical="center"/>
    </xf>
    <xf numFmtId="3" fontId="66" fillId="0" borderId="75" xfId="0" applyNumberFormat="1" applyFont="1" applyBorder="1" applyAlignment="1">
      <alignment vertical="center"/>
    </xf>
    <xf numFmtId="3" fontId="40" fillId="0" borderId="75" xfId="0" applyNumberFormat="1" applyFont="1" applyBorder="1" applyAlignment="1">
      <alignment vertical="center"/>
    </xf>
    <xf numFmtId="3" fontId="67" fillId="0" borderId="75" xfId="0" applyNumberFormat="1" applyFont="1" applyBorder="1" applyAlignment="1">
      <alignment vertical="center"/>
    </xf>
    <xf numFmtId="3" fontId="67" fillId="0" borderId="76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vertical="center"/>
    </xf>
    <xf numFmtId="3" fontId="40" fillId="0" borderId="74" xfId="0" applyNumberFormat="1" applyFont="1" applyBorder="1" applyAlignment="1">
      <alignment vertical="center"/>
    </xf>
    <xf numFmtId="3" fontId="66" fillId="0" borderId="76" xfId="0" applyNumberFormat="1" applyFont="1" applyBorder="1" applyAlignment="1">
      <alignment vertical="center"/>
    </xf>
    <xf numFmtId="3" fontId="40" fillId="0" borderId="76" xfId="0" applyNumberFormat="1" applyFont="1" applyBorder="1" applyAlignment="1">
      <alignment vertical="center"/>
    </xf>
    <xf numFmtId="3" fontId="40" fillId="0" borderId="77" xfId="0" applyNumberFormat="1" applyFont="1" applyBorder="1" applyAlignment="1">
      <alignment vertical="center"/>
    </xf>
    <xf numFmtId="0" fontId="40" fillId="0" borderId="78" xfId="0" applyFont="1" applyBorder="1" applyAlignment="1">
      <alignment horizontal="center" vertical="center" wrapText="1"/>
    </xf>
    <xf numFmtId="3" fontId="66" fillId="0" borderId="79" xfId="0" applyNumberFormat="1" applyFont="1" applyBorder="1" applyAlignment="1">
      <alignment vertical="center"/>
    </xf>
    <xf numFmtId="3" fontId="40" fillId="0" borderId="79" xfId="0" applyNumberFormat="1" applyFont="1" applyBorder="1" applyAlignment="1">
      <alignment vertical="center"/>
    </xf>
    <xf numFmtId="3" fontId="67" fillId="0" borderId="79" xfId="0" applyNumberFormat="1" applyFont="1" applyBorder="1" applyAlignment="1">
      <alignment vertical="center"/>
    </xf>
    <xf numFmtId="3" fontId="67" fillId="0" borderId="80" xfId="0" applyNumberFormat="1" applyFont="1" applyBorder="1" applyAlignment="1">
      <alignment vertical="center"/>
    </xf>
    <xf numFmtId="3" fontId="40" fillId="0" borderId="63" xfId="0" applyNumberFormat="1" applyFont="1" applyBorder="1" applyAlignment="1">
      <alignment vertical="center"/>
    </xf>
    <xf numFmtId="3" fontId="40" fillId="0" borderId="78" xfId="0" applyNumberFormat="1" applyFont="1" applyBorder="1" applyAlignment="1">
      <alignment vertical="center"/>
    </xf>
    <xf numFmtId="3" fontId="66" fillId="0" borderId="80" xfId="0" applyNumberFormat="1" applyFont="1" applyBorder="1" applyAlignment="1">
      <alignment vertical="center"/>
    </xf>
    <xf numFmtId="3" fontId="40" fillId="0" borderId="80" xfId="0" applyNumberFormat="1" applyFont="1" applyBorder="1" applyAlignment="1">
      <alignment vertical="center"/>
    </xf>
    <xf numFmtId="3" fontId="40" fillId="0" borderId="81" xfId="0" applyNumberFormat="1" applyFont="1" applyBorder="1" applyAlignment="1">
      <alignment vertical="center"/>
    </xf>
    <xf numFmtId="0" fontId="67" fillId="16" borderId="71" xfId="0" quotePrefix="1" applyFont="1" applyFill="1" applyBorder="1" applyAlignment="1">
      <alignment vertical="center"/>
    </xf>
    <xf numFmtId="3" fontId="67" fillId="16" borderId="79" xfId="0" applyNumberFormat="1" applyFont="1" applyFill="1" applyBorder="1" applyAlignment="1">
      <alignment vertical="center"/>
    </xf>
    <xf numFmtId="3" fontId="67" fillId="16" borderId="75" xfId="0" applyNumberFormat="1" applyFont="1" applyFill="1" applyBorder="1" applyAlignment="1">
      <alignment vertical="center"/>
    </xf>
    <xf numFmtId="3" fontId="67" fillId="16" borderId="71" xfId="0" applyNumberFormat="1" applyFont="1" applyFill="1" applyBorder="1" applyAlignment="1">
      <alignment vertical="center"/>
    </xf>
    <xf numFmtId="0" fontId="67" fillId="16" borderId="0" xfId="0" applyFont="1" applyFill="1" applyAlignment="1">
      <alignment vertical="center"/>
    </xf>
    <xf numFmtId="0" fontId="40" fillId="0" borderId="18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40" fillId="0" borderId="82" xfId="0" applyFont="1" applyBorder="1" applyAlignment="1">
      <alignment vertical="center"/>
    </xf>
    <xf numFmtId="0" fontId="40" fillId="0" borderId="83" xfId="0" applyFont="1" applyBorder="1" applyAlignment="1">
      <alignment vertical="center"/>
    </xf>
    <xf numFmtId="3" fontId="66" fillId="0" borderId="65" xfId="0" applyNumberFormat="1" applyFont="1" applyBorder="1" applyAlignment="1">
      <alignment vertical="center"/>
    </xf>
    <xf numFmtId="3" fontId="66" fillId="0" borderId="27" xfId="0" applyNumberFormat="1" applyFont="1" applyBorder="1" applyAlignment="1">
      <alignment vertical="center"/>
    </xf>
    <xf numFmtId="3" fontId="66" fillId="0" borderId="15" xfId="0" applyNumberFormat="1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3" fontId="66" fillId="0" borderId="63" xfId="0" applyNumberFormat="1" applyFont="1" applyBorder="1" applyAlignment="1">
      <alignment vertical="center"/>
    </xf>
    <xf numFmtId="3" fontId="66" fillId="0" borderId="3" xfId="0" applyNumberFormat="1" applyFont="1" applyBorder="1" applyAlignment="1">
      <alignment vertical="center"/>
    </xf>
    <xf numFmtId="3" fontId="66" fillId="0" borderId="16" xfId="0" applyNumberFormat="1" applyFont="1" applyBorder="1" applyAlignment="1">
      <alignment vertical="center"/>
    </xf>
    <xf numFmtId="0" fontId="68" fillId="16" borderId="15" xfId="0" quotePrefix="1" applyFont="1" applyFill="1" applyBorder="1" applyAlignment="1">
      <alignment vertical="center"/>
    </xf>
    <xf numFmtId="3" fontId="68" fillId="16" borderId="65" xfId="0" applyNumberFormat="1" applyFont="1" applyFill="1" applyBorder="1" applyAlignment="1">
      <alignment vertical="center"/>
    </xf>
    <xf numFmtId="3" fontId="68" fillId="16" borderId="27" xfId="0" applyNumberFormat="1" applyFont="1" applyFill="1" applyBorder="1" applyAlignment="1">
      <alignment vertical="center"/>
    </xf>
    <xf numFmtId="3" fontId="68" fillId="16" borderId="15" xfId="0" applyNumberFormat="1" applyFont="1" applyFill="1" applyBorder="1" applyAlignment="1">
      <alignment vertical="center"/>
    </xf>
    <xf numFmtId="0" fontId="68" fillId="16" borderId="0" xfId="0" applyFont="1" applyFill="1" applyAlignment="1">
      <alignment vertical="center"/>
    </xf>
    <xf numFmtId="0" fontId="67" fillId="16" borderId="71" xfId="0" applyFont="1" applyFill="1" applyBorder="1" applyAlignment="1">
      <alignment vertical="center" wrapText="1"/>
    </xf>
    <xf numFmtId="43" fontId="0" fillId="0" borderId="0" xfId="25" applyFont="1"/>
    <xf numFmtId="43" fontId="0" fillId="0" borderId="0" xfId="0" applyNumberFormat="1"/>
    <xf numFmtId="0" fontId="0" fillId="0" borderId="0" xfId="0" applyAlignment="1">
      <alignment horizontal="center"/>
    </xf>
    <xf numFmtId="43" fontId="18" fillId="0" borderId="0" xfId="0" applyNumberFormat="1" applyFont="1"/>
    <xf numFmtId="3" fontId="23" fillId="12" borderId="16" xfId="0" applyNumberFormat="1" applyFont="1" applyFill="1" applyBorder="1" applyAlignment="1">
      <alignment horizontal="center" vertical="center"/>
    </xf>
    <xf numFmtId="3" fontId="22" fillId="12" borderId="16" xfId="0" applyNumberFormat="1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horizontal="left" vertical="center" wrapText="1"/>
    </xf>
    <xf numFmtId="3" fontId="22" fillId="12" borderId="16" xfId="6" applyNumberFormat="1" applyFont="1" applyFill="1" applyBorder="1" applyAlignment="1">
      <alignment horizontal="right" vertical="center"/>
    </xf>
    <xf numFmtId="3" fontId="22" fillId="12" borderId="16" xfId="6" applyNumberFormat="1" applyFont="1" applyFill="1" applyBorder="1" applyAlignment="1">
      <alignment vertical="center"/>
    </xf>
    <xf numFmtId="0" fontId="20" fillId="12" borderId="16" xfId="6" quotePrefix="1" applyFont="1" applyFill="1" applyBorder="1" applyAlignment="1">
      <alignment horizontal="center" vertical="center" wrapText="1"/>
    </xf>
    <xf numFmtId="3" fontId="22" fillId="12" borderId="16" xfId="0" applyNumberFormat="1" applyFont="1" applyFill="1" applyBorder="1" applyAlignment="1">
      <alignment horizontal="right" vertical="center"/>
    </xf>
    <xf numFmtId="0" fontId="9" fillId="12" borderId="0" xfId="6" applyFont="1" applyFill="1" applyAlignment="1">
      <alignment vertical="center"/>
    </xf>
    <xf numFmtId="0" fontId="10" fillId="12" borderId="0" xfId="6" applyFont="1" applyFill="1" applyBorder="1" applyAlignment="1">
      <alignment horizontal="right" vertical="center"/>
    </xf>
    <xf numFmtId="3" fontId="38" fillId="12" borderId="0" xfId="0" applyNumberFormat="1" applyFont="1" applyFill="1" applyAlignment="1">
      <alignment vertical="center"/>
    </xf>
    <xf numFmtId="0" fontId="38" fillId="12" borderId="0" xfId="0" applyFont="1" applyFill="1" applyAlignment="1">
      <alignment vertical="center"/>
    </xf>
    <xf numFmtId="0" fontId="22" fillId="12" borderId="16" xfId="0" applyFont="1" applyFill="1" applyBorder="1" applyAlignment="1">
      <alignment horizontal="center" vertical="center"/>
    </xf>
    <xf numFmtId="0" fontId="22" fillId="12" borderId="16" xfId="6" applyFont="1" applyFill="1" applyBorder="1" applyAlignment="1">
      <alignment horizontal="left" vertical="center"/>
    </xf>
    <xf numFmtId="3" fontId="0" fillId="13" borderId="8" xfId="0" applyNumberFormat="1" applyFill="1" applyBorder="1"/>
    <xf numFmtId="3" fontId="64" fillId="13" borderId="8" xfId="0" applyNumberFormat="1" applyFont="1" applyFill="1" applyBorder="1"/>
    <xf numFmtId="0" fontId="52" fillId="0" borderId="0" xfId="0" applyFont="1" applyBorder="1" applyAlignment="1">
      <alignment vertical="center"/>
    </xf>
    <xf numFmtId="3" fontId="52" fillId="0" borderId="0" xfId="0" applyNumberFormat="1" applyFont="1" applyBorder="1" applyAlignment="1">
      <alignment horizontal="center" vertical="center"/>
    </xf>
    <xf numFmtId="0" fontId="70" fillId="0" borderId="0" xfId="0" applyFont="1"/>
    <xf numFmtId="3" fontId="5" fillId="13" borderId="8" xfId="0" applyNumberFormat="1" applyFont="1" applyFill="1" applyBorder="1"/>
    <xf numFmtId="3" fontId="64" fillId="13" borderId="0" xfId="0" applyNumberFormat="1" applyFont="1" applyFill="1" applyBorder="1"/>
    <xf numFmtId="3" fontId="5" fillId="13" borderId="47" xfId="0" applyNumberFormat="1" applyFont="1" applyFill="1" applyBorder="1"/>
    <xf numFmtId="0" fontId="21" fillId="12" borderId="16" xfId="0" applyFont="1" applyFill="1" applyBorder="1" applyAlignment="1">
      <alignment vertical="center" wrapText="1"/>
    </xf>
    <xf numFmtId="3" fontId="23" fillId="12" borderId="16" xfId="0" applyNumberFormat="1" applyFont="1" applyFill="1" applyBorder="1" applyAlignment="1">
      <alignment horizontal="right" vertical="center"/>
    </xf>
    <xf numFmtId="1" fontId="21" fillId="12" borderId="16" xfId="6" applyNumberFormat="1" applyFont="1" applyFill="1" applyBorder="1" applyAlignment="1">
      <alignment vertical="center"/>
    </xf>
    <xf numFmtId="3" fontId="23" fillId="12" borderId="16" xfId="6" applyNumberFormat="1" applyFont="1" applyFill="1" applyBorder="1" applyAlignment="1">
      <alignment vertical="center"/>
    </xf>
    <xf numFmtId="0" fontId="22" fillId="12" borderId="16" xfId="6" applyFont="1" applyFill="1" applyBorder="1" applyAlignment="1">
      <alignment vertical="center"/>
    </xf>
    <xf numFmtId="0" fontId="23" fillId="12" borderId="16" xfId="6" applyFont="1" applyFill="1" applyBorder="1" applyAlignment="1">
      <alignment vertical="center"/>
    </xf>
    <xf numFmtId="1" fontId="20" fillId="12" borderId="16" xfId="6" applyNumberFormat="1" applyFont="1" applyFill="1" applyBorder="1" applyAlignment="1">
      <alignment vertical="center"/>
    </xf>
    <xf numFmtId="0" fontId="20" fillId="12" borderId="16" xfId="6" applyFont="1" applyFill="1" applyBorder="1" applyAlignment="1">
      <alignment horizontal="center" vertical="center" textRotation="90"/>
    </xf>
    <xf numFmtId="0" fontId="21" fillId="12" borderId="16" xfId="6" applyFont="1" applyFill="1" applyBorder="1" applyAlignment="1">
      <alignment vertical="center"/>
    </xf>
    <xf numFmtId="0" fontId="20" fillId="12" borderId="16" xfId="6" quotePrefix="1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left" vertical="center"/>
    </xf>
    <xf numFmtId="1" fontId="22" fillId="12" borderId="16" xfId="6" applyNumberFormat="1" applyFont="1" applyFill="1" applyBorder="1" applyAlignment="1">
      <alignment vertical="center"/>
    </xf>
    <xf numFmtId="3" fontId="23" fillId="12" borderId="16" xfId="6" applyNumberFormat="1" applyFont="1" applyFill="1" applyBorder="1" applyAlignment="1">
      <alignment horizontal="right" vertical="center"/>
    </xf>
    <xf numFmtId="3" fontId="23" fillId="12" borderId="16" xfId="6" applyNumberFormat="1" applyFont="1" applyFill="1" applyBorder="1" applyAlignment="1">
      <alignment horizontal="center" vertical="center"/>
    </xf>
    <xf numFmtId="1" fontId="20" fillId="12" borderId="16" xfId="6" applyNumberFormat="1" applyFont="1" applyFill="1" applyBorder="1" applyAlignment="1">
      <alignment horizontal="center" vertical="center"/>
    </xf>
    <xf numFmtId="3" fontId="21" fillId="12" borderId="16" xfId="6" applyNumberFormat="1" applyFont="1" applyFill="1" applyBorder="1" applyAlignment="1">
      <alignment vertical="center"/>
    </xf>
    <xf numFmtId="0" fontId="21" fillId="12" borderId="3" xfId="0" applyFont="1" applyFill="1" applyBorder="1" applyAlignment="1">
      <alignment horizontal="left" vertical="center" wrapText="1"/>
    </xf>
    <xf numFmtId="0" fontId="21" fillId="12" borderId="16" xfId="0" applyFont="1" applyFill="1" applyBorder="1" applyAlignment="1">
      <alignment horizontal="left" vertical="center" wrapText="1"/>
    </xf>
    <xf numFmtId="3" fontId="23" fillId="12" borderId="16" xfId="6" applyNumberFormat="1" applyFont="1" applyFill="1" applyBorder="1" applyAlignment="1">
      <alignment horizontal="right" vertical="center" wrapText="1"/>
    </xf>
    <xf numFmtId="1" fontId="23" fillId="12" borderId="16" xfId="6" applyNumberFormat="1" applyFont="1" applyFill="1" applyBorder="1" applyAlignment="1">
      <alignment vertical="center"/>
    </xf>
    <xf numFmtId="3" fontId="22" fillId="12" borderId="15" xfId="6" applyNumberFormat="1" applyFont="1" applyFill="1" applyBorder="1" applyAlignment="1">
      <alignment horizontal="right" vertical="center"/>
    </xf>
    <xf numFmtId="1" fontId="21" fillId="12" borderId="15" xfId="6" applyNumberFormat="1" applyFont="1" applyFill="1" applyBorder="1" applyAlignment="1">
      <alignment vertical="center"/>
    </xf>
    <xf numFmtId="3" fontId="23" fillId="12" borderId="16" xfId="7" applyNumberFormat="1" applyFont="1" applyFill="1" applyBorder="1" applyAlignment="1">
      <alignment horizontal="right" vertical="center"/>
    </xf>
    <xf numFmtId="0" fontId="23" fillId="12" borderId="1" xfId="6" applyFont="1" applyFill="1" applyBorder="1" applyAlignment="1">
      <alignment vertical="center" wrapText="1"/>
    </xf>
    <xf numFmtId="3" fontId="39" fillId="0" borderId="3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3" fontId="39" fillId="14" borderId="15" xfId="0" applyNumberFormat="1" applyFont="1" applyFill="1" applyBorder="1" applyAlignment="1">
      <alignment vertical="center"/>
    </xf>
    <xf numFmtId="3" fontId="39" fillId="14" borderId="64" xfId="0" applyNumberFormat="1" applyFont="1" applyFill="1" applyBorder="1" applyAlignment="1">
      <alignment vertical="center"/>
    </xf>
    <xf numFmtId="3" fontId="39" fillId="14" borderId="65" xfId="0" applyNumberFormat="1" applyFont="1" applyFill="1" applyBorder="1" applyAlignment="1">
      <alignment vertical="center"/>
    </xf>
    <xf numFmtId="3" fontId="39" fillId="14" borderId="16" xfId="0" applyNumberFormat="1" applyFont="1" applyFill="1" applyBorder="1" applyAlignment="1">
      <alignment vertical="center"/>
    </xf>
    <xf numFmtId="0" fontId="19" fillId="14" borderId="0" xfId="0" applyFont="1" applyFill="1" applyAlignment="1">
      <alignment vertical="center"/>
    </xf>
    <xf numFmtId="3" fontId="39" fillId="0" borderId="16" xfId="0" applyNumberFormat="1" applyFont="1" applyBorder="1" applyAlignment="1">
      <alignment vertical="center"/>
    </xf>
    <xf numFmtId="3" fontId="39" fillId="0" borderId="62" xfId="0" applyNumberFormat="1" applyFont="1" applyBorder="1" applyAlignment="1">
      <alignment vertical="center"/>
    </xf>
    <xf numFmtId="3" fontId="39" fillId="0" borderId="63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" fontId="39" fillId="14" borderId="63" xfId="0" applyNumberFormat="1" applyFont="1" applyFill="1" applyBorder="1" applyAlignment="1">
      <alignment vertical="center"/>
    </xf>
    <xf numFmtId="3" fontId="71" fillId="12" borderId="16" xfId="0" applyNumberFormat="1" applyFont="1" applyFill="1" applyBorder="1" applyAlignment="1">
      <alignment vertical="center"/>
    </xf>
    <xf numFmtId="3" fontId="71" fillId="12" borderId="3" xfId="0" applyNumberFormat="1" applyFont="1" applyFill="1" applyBorder="1" applyAlignment="1">
      <alignment vertical="center"/>
    </xf>
    <xf numFmtId="3" fontId="71" fillId="12" borderId="63" xfId="0" applyNumberFormat="1" applyFont="1" applyFill="1" applyBorder="1" applyAlignment="1">
      <alignment vertical="center"/>
    </xf>
    <xf numFmtId="3" fontId="39" fillId="0" borderId="84" xfId="0" applyNumberFormat="1" applyFont="1" applyFill="1" applyBorder="1" applyAlignment="1">
      <alignment vertical="center"/>
    </xf>
    <xf numFmtId="0" fontId="9" fillId="12" borderId="0" xfId="6" applyFont="1" applyFill="1" applyBorder="1" applyAlignment="1">
      <alignment vertical="center"/>
    </xf>
    <xf numFmtId="0" fontId="19" fillId="12" borderId="0" xfId="0" applyFont="1" applyFill="1"/>
    <xf numFmtId="0" fontId="22" fillId="0" borderId="3" xfId="0" applyFont="1" applyFill="1" applyBorder="1" applyAlignment="1">
      <alignment vertical="center"/>
    </xf>
    <xf numFmtId="4" fontId="18" fillId="0" borderId="0" xfId="0" applyNumberFormat="1" applyFont="1"/>
    <xf numFmtId="4" fontId="18" fillId="0" borderId="0" xfId="0" applyNumberFormat="1" applyFont="1" applyAlignment="1">
      <alignment horizontal="center" vertical="center"/>
    </xf>
    <xf numFmtId="0" fontId="22" fillId="12" borderId="3" xfId="0" applyFont="1" applyFill="1" applyBorder="1" applyAlignment="1">
      <alignment horizontal="center" vertical="center" wrapText="1"/>
    </xf>
    <xf numFmtId="0" fontId="21" fillId="12" borderId="0" xfId="6" applyFont="1" applyFill="1" applyBorder="1" applyAlignment="1">
      <alignment vertical="center"/>
    </xf>
    <xf numFmtId="0" fontId="20" fillId="12" borderId="0" xfId="6" applyFont="1" applyFill="1" applyBorder="1" applyAlignment="1">
      <alignment vertical="center" wrapText="1"/>
    </xf>
    <xf numFmtId="0" fontId="20" fillId="12" borderId="3" xfId="6" applyFont="1" applyFill="1" applyBorder="1" applyAlignment="1">
      <alignment vertical="center"/>
    </xf>
    <xf numFmtId="0" fontId="8" fillId="12" borderId="0" xfId="6" applyFont="1" applyFill="1" applyBorder="1" applyAlignment="1">
      <alignment vertical="center"/>
    </xf>
    <xf numFmtId="0" fontId="9" fillId="12" borderId="0" xfId="6" applyFont="1" applyFill="1" applyBorder="1" applyAlignment="1">
      <alignment vertical="center" wrapText="1"/>
    </xf>
    <xf numFmtId="0" fontId="23" fillId="12" borderId="0" xfId="6" applyFont="1" applyFill="1" applyBorder="1" applyAlignment="1">
      <alignment horizontal="center" vertical="center" wrapText="1"/>
    </xf>
    <xf numFmtId="0" fontId="8" fillId="12" borderId="0" xfId="6" applyFont="1" applyFill="1" applyAlignment="1">
      <alignment horizontal="center" vertical="center"/>
    </xf>
    <xf numFmtId="3" fontId="8" fillId="12" borderId="0" xfId="6" applyNumberFormat="1" applyFont="1" applyFill="1" applyAlignment="1">
      <alignment horizontal="center" vertical="center"/>
    </xf>
    <xf numFmtId="0" fontId="14" fillId="12" borderId="0" xfId="6" applyFont="1" applyFill="1" applyAlignment="1">
      <alignment horizontal="center" vertical="center"/>
    </xf>
    <xf numFmtId="0" fontId="13" fillId="12" borderId="16" xfId="6" applyFont="1" applyFill="1" applyBorder="1" applyAlignment="1">
      <alignment horizontal="center" vertical="center"/>
    </xf>
    <xf numFmtId="0" fontId="39" fillId="12" borderId="0" xfId="0" applyFont="1" applyFill="1"/>
    <xf numFmtId="0" fontId="22" fillId="12" borderId="16" xfId="0" applyFont="1" applyFill="1" applyBorder="1" applyAlignment="1">
      <alignment horizontal="center" vertical="center" textRotation="90" wrapText="1"/>
    </xf>
    <xf numFmtId="3" fontId="19" fillId="12" borderId="0" xfId="0" applyNumberFormat="1" applyFont="1" applyFill="1"/>
    <xf numFmtId="3" fontId="18" fillId="12" borderId="0" xfId="0" applyNumberFormat="1" applyFont="1" applyFill="1"/>
    <xf numFmtId="4" fontId="16" fillId="12" borderId="0" xfId="0" applyNumberFormat="1" applyFont="1" applyFill="1" applyBorder="1"/>
    <xf numFmtId="0" fontId="16" fillId="12" borderId="0" xfId="0" applyFont="1" applyFill="1" applyBorder="1"/>
    <xf numFmtId="0" fontId="15" fillId="12" borderId="0" xfId="0" applyFont="1" applyFill="1" applyBorder="1"/>
    <xf numFmtId="0" fontId="17" fillId="12" borderId="0" xfId="0" applyFont="1" applyFill="1" applyBorder="1"/>
    <xf numFmtId="0" fontId="5" fillId="12" borderId="0" xfId="0" applyFont="1" applyFill="1" applyBorder="1"/>
    <xf numFmtId="4" fontId="69" fillId="12" borderId="0" xfId="0" applyNumberFormat="1" applyFont="1" applyFill="1" applyBorder="1"/>
    <xf numFmtId="1" fontId="23" fillId="12" borderId="16" xfId="0" applyNumberFormat="1" applyFont="1" applyFill="1" applyBorder="1" applyAlignment="1">
      <alignment horizontal="left" vertical="center"/>
    </xf>
    <xf numFmtId="0" fontId="20" fillId="12" borderId="2" xfId="6" applyFont="1" applyFill="1" applyBorder="1" applyAlignment="1">
      <alignment vertical="center" wrapText="1"/>
    </xf>
    <xf numFmtId="0" fontId="20" fillId="12" borderId="3" xfId="6" applyFont="1" applyFill="1" applyBorder="1" applyAlignment="1">
      <alignment vertical="center" wrapText="1"/>
    </xf>
    <xf numFmtId="0" fontId="23" fillId="12" borderId="1" xfId="0" applyFont="1" applyFill="1" applyBorder="1" applyAlignment="1">
      <alignment horizontal="center" vertical="center"/>
    </xf>
    <xf numFmtId="0" fontId="13" fillId="12" borderId="0" xfId="6" applyFont="1" applyFill="1" applyAlignment="1">
      <alignment horizontal="center"/>
    </xf>
    <xf numFmtId="0" fontId="66" fillId="12" borderId="0" xfId="0" applyFont="1" applyFill="1" applyAlignment="1">
      <alignment vertical="center"/>
    </xf>
    <xf numFmtId="0" fontId="66" fillId="12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72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3" fontId="18" fillId="0" borderId="0" xfId="0" applyNumberFormat="1" applyFont="1"/>
    <xf numFmtId="0" fontId="18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0" fontId="73" fillId="0" borderId="0" xfId="0" applyFont="1"/>
    <xf numFmtId="3" fontId="72" fillId="0" borderId="0" xfId="0" applyNumberFormat="1" applyFont="1"/>
    <xf numFmtId="3" fontId="72" fillId="0" borderId="0" xfId="0" applyNumberFormat="1" applyFont="1" applyBorder="1"/>
    <xf numFmtId="0" fontId="0" fillId="0" borderId="0" xfId="0" applyFont="1" applyAlignment="1">
      <alignment horizontal="left"/>
    </xf>
    <xf numFmtId="0" fontId="23" fillId="12" borderId="16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14" fillId="0" borderId="71" xfId="0" applyFont="1" applyBorder="1" applyAlignment="1">
      <alignment vertical="center"/>
    </xf>
    <xf numFmtId="0" fontId="14" fillId="0" borderId="71" xfId="0" quotePrefix="1" applyFont="1" applyBorder="1" applyAlignment="1">
      <alignment vertical="center"/>
    </xf>
    <xf numFmtId="0" fontId="74" fillId="0" borderId="71" xfId="0" applyFont="1" applyBorder="1" applyAlignment="1">
      <alignment horizontal="right" vertical="center"/>
    </xf>
    <xf numFmtId="0" fontId="74" fillId="0" borderId="71" xfId="0" applyFont="1" applyBorder="1" applyAlignment="1">
      <alignment vertical="center"/>
    </xf>
    <xf numFmtId="0" fontId="14" fillId="0" borderId="71" xfId="0" applyFont="1" applyBorder="1" applyAlignment="1">
      <alignment horizontal="right" vertical="center"/>
    </xf>
    <xf numFmtId="0" fontId="14" fillId="0" borderId="72" xfId="0" applyFont="1" applyBorder="1" applyAlignment="1">
      <alignment vertical="center"/>
    </xf>
    <xf numFmtId="0" fontId="14" fillId="0" borderId="72" xfId="0" quotePrefix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85" xfId="0" applyFont="1" applyBorder="1" applyAlignment="1">
      <alignment vertical="center"/>
    </xf>
    <xf numFmtId="0" fontId="14" fillId="0" borderId="85" xfId="0" quotePrefix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0" fontId="13" fillId="0" borderId="86" xfId="0" applyFont="1" applyBorder="1" applyAlignment="1">
      <alignment vertical="center"/>
    </xf>
    <xf numFmtId="0" fontId="40" fillId="12" borderId="71" xfId="0" applyFont="1" applyFill="1" applyBorder="1" applyAlignment="1">
      <alignment horizontal="right" vertical="center"/>
    </xf>
    <xf numFmtId="0" fontId="40" fillId="12" borderId="71" xfId="0" applyFont="1" applyFill="1" applyBorder="1" applyAlignment="1">
      <alignment horizontal="center" vertical="center"/>
    </xf>
    <xf numFmtId="0" fontId="40" fillId="12" borderId="0" xfId="0" applyFont="1" applyFill="1" applyAlignment="1">
      <alignment horizontal="right" vertical="center"/>
    </xf>
    <xf numFmtId="0" fontId="40" fillId="12" borderId="0" xfId="0" applyFont="1" applyFill="1" applyAlignment="1">
      <alignment vertical="center"/>
    </xf>
    <xf numFmtId="0" fontId="40" fillId="12" borderId="0" xfId="0" applyFont="1" applyFill="1" applyAlignment="1">
      <alignment horizontal="center" vertical="center"/>
    </xf>
    <xf numFmtId="0" fontId="66" fillId="12" borderId="70" xfId="0" applyFont="1" applyFill="1" applyBorder="1" applyAlignment="1">
      <alignment horizontal="center" vertical="center"/>
    </xf>
    <xf numFmtId="0" fontId="66" fillId="12" borderId="70" xfId="0" applyFont="1" applyFill="1" applyBorder="1" applyAlignment="1">
      <alignment horizontal="left" vertical="center"/>
    </xf>
    <xf numFmtId="0" fontId="40" fillId="12" borderId="70" xfId="0" applyFont="1" applyFill="1" applyBorder="1" applyAlignment="1">
      <alignment vertical="center"/>
    </xf>
    <xf numFmtId="3" fontId="40" fillId="12" borderId="71" xfId="0" applyNumberFormat="1" applyFont="1" applyFill="1" applyBorder="1" applyAlignment="1">
      <alignment horizontal="right" vertical="center"/>
    </xf>
    <xf numFmtId="0" fontId="40" fillId="12" borderId="71" xfId="0" applyFont="1" applyFill="1" applyBorder="1" applyAlignment="1">
      <alignment vertical="center"/>
    </xf>
    <xf numFmtId="3" fontId="40" fillId="12" borderId="71" xfId="0" applyNumberFormat="1" applyFont="1" applyFill="1" applyBorder="1" applyAlignment="1">
      <alignment vertical="center"/>
    </xf>
    <xf numFmtId="0" fontId="40" fillId="12" borderId="73" xfId="0" applyFont="1" applyFill="1" applyBorder="1" applyAlignment="1">
      <alignment horizontal="right" vertical="center"/>
    </xf>
    <xf numFmtId="0" fontId="40" fillId="12" borderId="73" xfId="0" applyFont="1" applyFill="1" applyBorder="1" applyAlignment="1">
      <alignment vertical="center"/>
    </xf>
    <xf numFmtId="3" fontId="40" fillId="12" borderId="73" xfId="0" applyNumberFormat="1" applyFont="1" applyFill="1" applyBorder="1" applyAlignment="1">
      <alignment vertical="center"/>
    </xf>
    <xf numFmtId="0" fontId="66" fillId="12" borderId="16" xfId="0" applyFont="1" applyFill="1" applyBorder="1" applyAlignment="1">
      <alignment horizontal="right" vertical="center"/>
    </xf>
    <xf numFmtId="3" fontId="66" fillId="12" borderId="16" xfId="0" applyNumberFormat="1" applyFont="1" applyFill="1" applyBorder="1" applyAlignment="1">
      <alignment horizontal="right" vertical="center"/>
    </xf>
    <xf numFmtId="0" fontId="66" fillId="12" borderId="85" xfId="0" applyFont="1" applyFill="1" applyBorder="1" applyAlignment="1">
      <alignment horizontal="center" vertical="center"/>
    </xf>
    <xf numFmtId="0" fontId="66" fillId="12" borderId="85" xfId="0" applyFont="1" applyFill="1" applyBorder="1" applyAlignment="1">
      <alignment horizontal="left" vertical="center"/>
    </xf>
    <xf numFmtId="0" fontId="66" fillId="12" borderId="85" xfId="0" applyFont="1" applyFill="1" applyBorder="1" applyAlignment="1">
      <alignment vertical="center"/>
    </xf>
    <xf numFmtId="3" fontId="40" fillId="12" borderId="85" xfId="0" applyNumberFormat="1" applyFont="1" applyFill="1" applyBorder="1" applyAlignment="1">
      <alignment vertical="center"/>
    </xf>
    <xf numFmtId="3" fontId="66" fillId="12" borderId="16" xfId="0" applyNumberFormat="1" applyFont="1" applyFill="1" applyBorder="1" applyAlignment="1">
      <alignment vertical="center"/>
    </xf>
    <xf numFmtId="0" fontId="40" fillId="12" borderId="85" xfId="0" applyFont="1" applyFill="1" applyBorder="1" applyAlignment="1">
      <alignment vertical="center"/>
    </xf>
    <xf numFmtId="0" fontId="40" fillId="12" borderId="72" xfId="0" applyFont="1" applyFill="1" applyBorder="1" applyAlignment="1">
      <alignment horizontal="right" vertical="center"/>
    </xf>
    <xf numFmtId="0" fontId="40" fillId="12" borderId="72" xfId="0" applyFont="1" applyFill="1" applyBorder="1" applyAlignment="1">
      <alignment vertical="center"/>
    </xf>
    <xf numFmtId="3" fontId="40" fillId="12" borderId="72" xfId="0" applyNumberFormat="1" applyFont="1" applyFill="1" applyBorder="1" applyAlignment="1">
      <alignment vertical="center"/>
    </xf>
    <xf numFmtId="0" fontId="66" fillId="12" borderId="15" xfId="0" applyFont="1" applyFill="1" applyBorder="1" applyAlignment="1">
      <alignment horizontal="center" vertical="center"/>
    </xf>
    <xf numFmtId="3" fontId="66" fillId="12" borderId="15" xfId="0" applyNumberFormat="1" applyFont="1" applyFill="1" applyBorder="1" applyAlignment="1">
      <alignment horizontal="right" vertical="center"/>
    </xf>
    <xf numFmtId="0" fontId="66" fillId="12" borderId="40" xfId="0" applyFont="1" applyFill="1" applyBorder="1" applyAlignment="1">
      <alignment horizontal="center" vertical="center"/>
    </xf>
    <xf numFmtId="3" fontId="66" fillId="12" borderId="40" xfId="0" applyNumberFormat="1" applyFont="1" applyFill="1" applyBorder="1" applyAlignment="1">
      <alignment horizontal="right" vertical="center"/>
    </xf>
    <xf numFmtId="0" fontId="40" fillId="12" borderId="0" xfId="0" applyFont="1" applyFill="1" applyBorder="1" applyAlignment="1">
      <alignment horizontal="right" vertical="center"/>
    </xf>
    <xf numFmtId="0" fontId="40" fillId="12" borderId="0" xfId="0" applyFont="1" applyFill="1" applyBorder="1" applyAlignment="1">
      <alignment vertical="center"/>
    </xf>
    <xf numFmtId="4" fontId="40" fillId="12" borderId="0" xfId="0" applyNumberFormat="1" applyFont="1" applyFill="1" applyBorder="1" applyAlignment="1">
      <alignment vertical="center"/>
    </xf>
    <xf numFmtId="4" fontId="40" fillId="12" borderId="0" xfId="0" applyNumberFormat="1" applyFont="1" applyFill="1" applyAlignment="1">
      <alignment vertical="center"/>
    </xf>
    <xf numFmtId="3" fontId="40" fillId="12" borderId="0" xfId="0" applyNumberFormat="1" applyFont="1" applyFill="1" applyAlignment="1">
      <alignment vertical="center"/>
    </xf>
    <xf numFmtId="0" fontId="40" fillId="12" borderId="73" xfId="0" applyFont="1" applyFill="1" applyBorder="1" applyAlignment="1">
      <alignment horizontal="center" vertical="center"/>
    </xf>
    <xf numFmtId="0" fontId="40" fillId="12" borderId="72" xfId="0" applyFont="1" applyFill="1" applyBorder="1" applyAlignment="1">
      <alignment horizontal="center" vertical="center"/>
    </xf>
    <xf numFmtId="0" fontId="20" fillId="12" borderId="16" xfId="6" applyFont="1" applyFill="1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17" borderId="0" xfId="0" applyNumberFormat="1" applyFill="1"/>
    <xf numFmtId="2" fontId="0" fillId="0" borderId="0" xfId="0" applyNumberFormat="1"/>
    <xf numFmtId="3" fontId="20" fillId="12" borderId="16" xfId="6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" fontId="0" fillId="12" borderId="16" xfId="0" applyNumberFormat="1" applyFont="1" applyFill="1" applyBorder="1" applyAlignment="1">
      <alignment vertical="center"/>
    </xf>
    <xf numFmtId="4" fontId="55" fillId="0" borderId="16" xfId="0" applyNumberFormat="1" applyFont="1" applyBorder="1" applyAlignment="1">
      <alignment vertical="center"/>
    </xf>
    <xf numFmtId="4" fontId="55" fillId="12" borderId="16" xfId="0" applyNumberFormat="1" applyFont="1" applyFill="1" applyBorder="1" applyAlignment="1">
      <alignment vertical="center"/>
    </xf>
    <xf numFmtId="4" fontId="55" fillId="14" borderId="16" xfId="0" applyNumberFormat="1" applyFont="1" applyFill="1" applyBorder="1" applyAlignment="1">
      <alignment vertical="center"/>
    </xf>
    <xf numFmtId="49" fontId="22" fillId="12" borderId="16" xfId="6" applyNumberFormat="1" applyFont="1" applyFill="1" applyBorder="1" applyAlignment="1">
      <alignment horizontal="center" vertical="center"/>
    </xf>
    <xf numFmtId="49" fontId="22" fillId="12" borderId="1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3" fontId="0" fillId="16" borderId="8" xfId="0" applyNumberFormat="1" applyFill="1" applyBorder="1"/>
    <xf numFmtId="0" fontId="20" fillId="12" borderId="0" xfId="6" applyFont="1" applyFill="1" applyBorder="1" applyAlignment="1">
      <alignment horizontal="right" vertical="center" wrapText="1"/>
    </xf>
    <xf numFmtId="0" fontId="39" fillId="12" borderId="0" xfId="0" applyFont="1" applyFill="1" applyAlignment="1">
      <alignment horizontal="right"/>
    </xf>
    <xf numFmtId="4" fontId="5" fillId="12" borderId="0" xfId="0" applyNumberFormat="1" applyFont="1" applyFill="1" applyBorder="1"/>
    <xf numFmtId="3" fontId="21" fillId="12" borderId="0" xfId="6" applyNumberFormat="1" applyFont="1" applyFill="1" applyBorder="1" applyAlignment="1">
      <alignment vertical="center"/>
    </xf>
    <xf numFmtId="3" fontId="0" fillId="12" borderId="8" xfId="0" applyNumberFormat="1" applyFill="1" applyBorder="1"/>
    <xf numFmtId="49" fontId="21" fillId="12" borderId="16" xfId="6" applyNumberFormat="1" applyFont="1" applyFill="1" applyBorder="1" applyAlignment="1">
      <alignment horizontal="center" vertical="center"/>
    </xf>
    <xf numFmtId="0" fontId="13" fillId="12" borderId="0" xfId="6" applyFont="1" applyFill="1" applyAlignment="1">
      <alignment vertical="center"/>
    </xf>
    <xf numFmtId="0" fontId="20" fillId="12" borderId="0" xfId="6" applyFont="1" applyFill="1" applyBorder="1" applyAlignment="1">
      <alignment vertical="center"/>
    </xf>
    <xf numFmtId="3" fontId="9" fillId="12" borderId="0" xfId="6" applyNumberFormat="1" applyFont="1" applyFill="1" applyBorder="1" applyAlignment="1">
      <alignment vertical="center"/>
    </xf>
    <xf numFmtId="0" fontId="78" fillId="12" borderId="0" xfId="6" applyFont="1" applyFill="1" applyBorder="1" applyAlignment="1">
      <alignment horizontal="right" vertical="center" wrapText="1"/>
    </xf>
    <xf numFmtId="0" fontId="8" fillId="12" borderId="0" xfId="6" applyFont="1" applyFill="1" applyAlignment="1">
      <alignment vertical="center"/>
    </xf>
    <xf numFmtId="3" fontId="8" fillId="12" borderId="0" xfId="6" applyNumberFormat="1" applyFont="1" applyFill="1" applyAlignment="1">
      <alignment vertical="center"/>
    </xf>
    <xf numFmtId="3" fontId="9" fillId="12" borderId="0" xfId="6" applyNumberFormat="1" applyFont="1" applyFill="1" applyAlignment="1">
      <alignment vertical="center"/>
    </xf>
    <xf numFmtId="0" fontId="13" fillId="12" borderId="16" xfId="6" applyFont="1" applyFill="1" applyBorder="1" applyAlignment="1">
      <alignment vertical="center"/>
    </xf>
    <xf numFmtId="0" fontId="13" fillId="12" borderId="0" xfId="6" applyFont="1" applyFill="1" applyAlignment="1"/>
    <xf numFmtId="0" fontId="4" fillId="12" borderId="2" xfId="0" applyFont="1" applyFill="1" applyBorder="1" applyAlignment="1"/>
    <xf numFmtId="0" fontId="4" fillId="12" borderId="3" xfId="0" applyFont="1" applyFill="1" applyBorder="1" applyAlignment="1"/>
    <xf numFmtId="3" fontId="14" fillId="0" borderId="0" xfId="0" applyNumberFormat="1" applyFont="1" applyAlignment="1">
      <alignment vertical="center"/>
    </xf>
    <xf numFmtId="0" fontId="23" fillId="12" borderId="0" xfId="6" applyFont="1" applyFill="1" applyBorder="1" applyAlignment="1">
      <alignment vertical="center"/>
    </xf>
    <xf numFmtId="0" fontId="13" fillId="12" borderId="0" xfId="6" applyFont="1" applyFill="1" applyBorder="1" applyAlignment="1">
      <alignment vertical="center"/>
    </xf>
    <xf numFmtId="1" fontId="22" fillId="12" borderId="16" xfId="6" applyNumberFormat="1" applyFont="1" applyFill="1" applyBorder="1" applyAlignment="1">
      <alignment horizontal="center" vertical="center"/>
    </xf>
    <xf numFmtId="0" fontId="14" fillId="12" borderId="0" xfId="6" applyFont="1" applyFill="1" applyBorder="1" applyAlignment="1">
      <alignment horizontal="center" vertical="center"/>
    </xf>
    <xf numFmtId="3" fontId="22" fillId="12" borderId="16" xfId="6" applyNumberFormat="1" applyFont="1" applyFill="1" applyBorder="1" applyAlignment="1">
      <alignment horizontal="center" vertical="center"/>
    </xf>
    <xf numFmtId="3" fontId="22" fillId="12" borderId="15" xfId="6" applyNumberFormat="1" applyFont="1" applyFill="1" applyBorder="1" applyAlignment="1">
      <alignment horizontal="center" vertical="center"/>
    </xf>
    <xf numFmtId="0" fontId="23" fillId="12" borderId="1" xfId="6" applyFont="1" applyFill="1" applyBorder="1" applyAlignment="1">
      <alignment vertical="center"/>
    </xf>
    <xf numFmtId="3" fontId="14" fillId="12" borderId="0" xfId="6" applyNumberFormat="1" applyFont="1" applyFill="1" applyBorder="1" applyAlignment="1">
      <alignment horizontal="center" vertical="center"/>
    </xf>
    <xf numFmtId="3" fontId="14" fillId="0" borderId="16" xfId="0" applyNumberFormat="1" applyFont="1" applyBorder="1" applyAlignment="1">
      <alignment vertical="center"/>
    </xf>
    <xf numFmtId="3" fontId="0" fillId="18" borderId="8" xfId="0" applyNumberFormat="1" applyFill="1" applyBorder="1"/>
    <xf numFmtId="3" fontId="0" fillId="18" borderId="0" xfId="0" applyNumberFormat="1" applyFill="1"/>
    <xf numFmtId="3" fontId="0" fillId="18" borderId="47" xfId="0" applyNumberFormat="1" applyFill="1" applyBorder="1"/>
    <xf numFmtId="3" fontId="0" fillId="18" borderId="8" xfId="0" quotePrefix="1" applyNumberFormat="1" applyFill="1" applyBorder="1"/>
    <xf numFmtId="3" fontId="21" fillId="12" borderId="15" xfId="6" applyNumberFormat="1" applyFont="1" applyFill="1" applyBorder="1" applyAlignment="1">
      <alignment horizontal="right" vertical="center"/>
    </xf>
    <xf numFmtId="3" fontId="21" fillId="12" borderId="15" xfId="6" applyNumberFormat="1" applyFont="1" applyFill="1" applyBorder="1" applyAlignment="1">
      <alignment horizontal="center" vertical="center"/>
    </xf>
    <xf numFmtId="0" fontId="76" fillId="12" borderId="0" xfId="0" applyFont="1" applyFill="1"/>
    <xf numFmtId="3" fontId="6" fillId="12" borderId="0" xfId="0" applyNumberFormat="1" applyFont="1" applyFill="1"/>
    <xf numFmtId="0" fontId="9" fillId="12" borderId="0" xfId="6" applyFont="1" applyFill="1" applyBorder="1" applyAlignment="1">
      <alignment horizontal="left" vertical="center"/>
    </xf>
    <xf numFmtId="3" fontId="9" fillId="12" borderId="0" xfId="6" applyNumberFormat="1" applyFont="1" applyFill="1" applyBorder="1" applyAlignment="1">
      <alignment horizontal="left" vertical="center" wrapText="1"/>
    </xf>
    <xf numFmtId="0" fontId="9" fillId="12" borderId="0" xfId="6" quotePrefix="1" applyFont="1" applyFill="1" applyBorder="1" applyAlignment="1">
      <alignment vertical="center" wrapText="1"/>
    </xf>
    <xf numFmtId="1" fontId="21" fillId="12" borderId="0" xfId="6" applyNumberFormat="1" applyFont="1" applyFill="1" applyAlignment="1">
      <alignment vertical="center"/>
    </xf>
    <xf numFmtId="0" fontId="9" fillId="12" borderId="0" xfId="6" applyFont="1" applyFill="1" applyAlignment="1">
      <alignment vertical="center" wrapText="1"/>
    </xf>
    <xf numFmtId="4" fontId="9" fillId="12" borderId="0" xfId="6" applyNumberFormat="1" applyFont="1" applyFill="1" applyAlignment="1">
      <alignment vertical="center"/>
    </xf>
    <xf numFmtId="0" fontId="77" fillId="12" borderId="0" xfId="6" applyFont="1" applyFill="1" applyAlignment="1">
      <alignment vertical="center"/>
    </xf>
    <xf numFmtId="0" fontId="79" fillId="12" borderId="0" xfId="6" applyFont="1" applyFill="1" applyAlignment="1">
      <alignment horizontal="center" vertical="center"/>
    </xf>
    <xf numFmtId="3" fontId="9" fillId="12" borderId="0" xfId="6" applyNumberFormat="1" applyFont="1" applyFill="1" applyBorder="1" applyAlignment="1">
      <alignment horizontal="center" vertical="center"/>
    </xf>
    <xf numFmtId="0" fontId="9" fillId="12" borderId="0" xfId="6" applyFont="1" applyFill="1" applyBorder="1" applyAlignment="1">
      <alignment horizontal="center" vertical="center"/>
    </xf>
    <xf numFmtId="0" fontId="21" fillId="12" borderId="16" xfId="6" applyFont="1" applyFill="1" applyBorder="1" applyAlignment="1">
      <alignment horizontal="center" vertical="center"/>
    </xf>
    <xf numFmtId="0" fontId="40" fillId="12" borderId="0" xfId="0" applyFont="1" applyFill="1" applyAlignment="1">
      <alignment horizontal="right" vertical="top"/>
    </xf>
    <xf numFmtId="3" fontId="19" fillId="12" borderId="0" xfId="0" applyNumberFormat="1" applyFont="1" applyFill="1" applyAlignment="1"/>
    <xf numFmtId="0" fontId="22" fillId="0" borderId="16" xfId="0" applyFont="1" applyFill="1" applyBorder="1" applyAlignment="1">
      <alignment horizontal="left" vertical="center"/>
    </xf>
    <xf numFmtId="3" fontId="81" fillId="12" borderId="0" xfId="0" applyNumberFormat="1" applyFont="1" applyFill="1" applyAlignment="1">
      <alignment vertical="center"/>
    </xf>
    <xf numFmtId="4" fontId="81" fillId="12" borderId="0" xfId="0" applyNumberFormat="1" applyFont="1" applyFill="1" applyAlignment="1">
      <alignment vertical="center"/>
    </xf>
    <xf numFmtId="3" fontId="69" fillId="12" borderId="0" xfId="0" applyNumberFormat="1" applyFont="1" applyFill="1" applyBorder="1" applyAlignment="1">
      <alignment horizontal="right"/>
    </xf>
    <xf numFmtId="3" fontId="69" fillId="12" borderId="0" xfId="0" applyNumberFormat="1" applyFont="1" applyFill="1" applyBorder="1"/>
    <xf numFmtId="3" fontId="10" fillId="12" borderId="0" xfId="0" applyNumberFormat="1" applyFont="1" applyFill="1" applyBorder="1"/>
    <xf numFmtId="3" fontId="10" fillId="12" borderId="0" xfId="0" applyNumberFormat="1" applyFont="1" applyFill="1" applyBorder="1" applyAlignment="1">
      <alignment horizontal="center" vertical="center"/>
    </xf>
    <xf numFmtId="0" fontId="48" fillId="12" borderId="0" xfId="0" applyFont="1" applyFill="1" applyBorder="1"/>
    <xf numFmtId="3" fontId="16" fillId="12" borderId="0" xfId="0" applyNumberFormat="1" applyFont="1" applyFill="1" applyBorder="1"/>
    <xf numFmtId="0" fontId="69" fillId="12" borderId="0" xfId="0" applyFont="1" applyFill="1" applyBorder="1"/>
    <xf numFmtId="0" fontId="53" fillId="0" borderId="43" xfId="0" applyFont="1" applyBorder="1" applyAlignment="1">
      <alignment horizontal="center" vertical="center"/>
    </xf>
    <xf numFmtId="3" fontId="52" fillId="0" borderId="37" xfId="0" applyNumberFormat="1" applyFont="1" applyBorder="1" applyAlignment="1">
      <alignment horizontal="center" vertical="center"/>
    </xf>
    <xf numFmtId="0" fontId="52" fillId="0" borderId="43" xfId="0" applyFont="1" applyBorder="1" applyAlignment="1">
      <alignment vertical="center"/>
    </xf>
    <xf numFmtId="0" fontId="52" fillId="0" borderId="37" xfId="0" applyFont="1" applyBorder="1" applyAlignment="1">
      <alignment horizontal="center" vertical="center"/>
    </xf>
    <xf numFmtId="0" fontId="53" fillId="21" borderId="87" xfId="0" applyFont="1" applyFill="1" applyBorder="1" applyAlignment="1">
      <alignment horizontal="center" vertical="center" wrapText="1"/>
    </xf>
    <xf numFmtId="0" fontId="53" fillId="21" borderId="88" xfId="0" applyFont="1" applyFill="1" applyBorder="1" applyAlignment="1">
      <alignment horizontal="center" vertical="center" wrapText="1"/>
    </xf>
    <xf numFmtId="0" fontId="53" fillId="0" borderId="88" xfId="0" applyFont="1" applyBorder="1" applyAlignment="1">
      <alignment horizontal="center" vertical="center" wrapText="1"/>
    </xf>
    <xf numFmtId="0" fontId="52" fillId="21" borderId="43" xfId="0" applyFont="1" applyFill="1" applyBorder="1" applyAlignment="1">
      <alignment vertical="center" wrapText="1"/>
    </xf>
    <xf numFmtId="3" fontId="52" fillId="21" borderId="37" xfId="0" applyNumberFormat="1" applyFont="1" applyFill="1" applyBorder="1" applyAlignment="1">
      <alignment horizontal="center" vertical="center" wrapText="1"/>
    </xf>
    <xf numFmtId="0" fontId="53" fillId="21" borderId="43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3" fontId="13" fillId="0" borderId="86" xfId="0" applyNumberFormat="1" applyFont="1" applyBorder="1" applyAlignment="1">
      <alignment vertical="center"/>
    </xf>
    <xf numFmtId="0" fontId="14" fillId="0" borderId="70" xfId="0" applyFont="1" applyBorder="1" applyAlignment="1">
      <alignment vertical="center"/>
    </xf>
    <xf numFmtId="0" fontId="74" fillId="0" borderId="70" xfId="0" applyFont="1" applyBorder="1" applyAlignment="1">
      <alignment horizontal="right" vertical="center"/>
    </xf>
    <xf numFmtId="0" fontId="74" fillId="0" borderId="70" xfId="0" applyFont="1" applyBorder="1" applyAlignment="1">
      <alignment vertical="center"/>
    </xf>
    <xf numFmtId="0" fontId="14" fillId="0" borderId="71" xfId="0" applyFont="1" applyFill="1" applyBorder="1" applyAlignment="1">
      <alignment horizontal="right" vertical="center"/>
    </xf>
    <xf numFmtId="49" fontId="14" fillId="0" borderId="71" xfId="0" applyNumberFormat="1" applyFont="1" applyFill="1" applyBorder="1" applyAlignment="1">
      <alignment vertical="center"/>
    </xf>
    <xf numFmtId="0" fontId="74" fillId="0" borderId="72" xfId="0" applyFont="1" applyBorder="1" applyAlignment="1">
      <alignment horizontal="right" vertical="center"/>
    </xf>
    <xf numFmtId="0" fontId="74" fillId="0" borderId="72" xfId="0" applyFont="1" applyBorder="1" applyAlignment="1">
      <alignment vertical="center"/>
    </xf>
    <xf numFmtId="3" fontId="39" fillId="12" borderId="0" xfId="0" applyNumberFormat="1" applyFont="1" applyFill="1"/>
    <xf numFmtId="0" fontId="22" fillId="0" borderId="16" xfId="0" applyFont="1" applyFill="1" applyBorder="1" applyAlignment="1">
      <alignment horizontal="center" vertical="center"/>
    </xf>
    <xf numFmtId="4" fontId="21" fillId="12" borderId="0" xfId="6" applyNumberFormat="1" applyFont="1" applyFill="1" applyAlignment="1">
      <alignment horizontal="center" vertical="center"/>
    </xf>
    <xf numFmtId="0" fontId="22" fillId="1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0" fillId="20" borderId="0" xfId="0" applyFont="1" applyFill="1" applyAlignment="1">
      <alignment vertical="center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/>
    </xf>
    <xf numFmtId="3" fontId="22" fillId="20" borderId="16" xfId="6" applyNumberFormat="1" applyFont="1" applyFill="1" applyBorder="1" applyAlignment="1">
      <alignment horizontal="center" vertical="center"/>
    </xf>
    <xf numFmtId="3" fontId="23" fillId="20" borderId="16" xfId="6" applyNumberFormat="1" applyFont="1" applyFill="1" applyBorder="1" applyAlignment="1">
      <alignment horizontal="center" vertical="center"/>
    </xf>
    <xf numFmtId="4" fontId="10" fillId="20" borderId="0" xfId="0" applyNumberFormat="1" applyFont="1" applyFill="1" applyAlignment="1">
      <alignment vertical="center"/>
    </xf>
    <xf numFmtId="3" fontId="37" fillId="20" borderId="0" xfId="0" applyNumberFormat="1" applyFont="1" applyFill="1" applyAlignment="1">
      <alignment vertical="center"/>
    </xf>
    <xf numFmtId="3" fontId="38" fillId="20" borderId="0" xfId="0" applyNumberFormat="1" applyFont="1" applyFill="1" applyAlignment="1">
      <alignment vertical="center"/>
    </xf>
    <xf numFmtId="0" fontId="38" fillId="20" borderId="0" xfId="0" applyFont="1" applyFill="1" applyAlignment="1">
      <alignment vertical="center"/>
    </xf>
    <xf numFmtId="0" fontId="28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15" xfId="0" applyFont="1" applyFill="1" applyBorder="1" applyAlignment="1">
      <alignment horizontal="center" vertical="center"/>
    </xf>
    <xf numFmtId="3" fontId="13" fillId="20" borderId="16" xfId="0" applyNumberFormat="1" applyFont="1" applyFill="1" applyBorder="1" applyAlignment="1">
      <alignment vertical="center"/>
    </xf>
    <xf numFmtId="3" fontId="13" fillId="20" borderId="86" xfId="0" applyNumberFormat="1" applyFont="1" applyFill="1" applyBorder="1" applyAlignment="1">
      <alignment vertical="center"/>
    </xf>
    <xf numFmtId="3" fontId="14" fillId="20" borderId="17" xfId="0" applyNumberFormat="1" applyFont="1" applyFill="1" applyBorder="1" applyAlignment="1">
      <alignment vertical="center"/>
    </xf>
    <xf numFmtId="3" fontId="14" fillId="20" borderId="16" xfId="0" applyNumberFormat="1" applyFont="1" applyFill="1" applyBorder="1" applyAlignment="1">
      <alignment vertical="center"/>
    </xf>
    <xf numFmtId="3" fontId="14" fillId="20" borderId="0" xfId="0" applyNumberFormat="1" applyFont="1" applyFill="1" applyAlignment="1">
      <alignment vertical="center"/>
    </xf>
    <xf numFmtId="0" fontId="66" fillId="12" borderId="17" xfId="0" applyFont="1" applyFill="1" applyBorder="1" applyAlignment="1">
      <alignment horizontal="center" vertical="center"/>
    </xf>
    <xf numFmtId="3" fontId="0" fillId="19" borderId="8" xfId="0" applyNumberFormat="1" applyFill="1" applyBorder="1"/>
    <xf numFmtId="3" fontId="0" fillId="19" borderId="8" xfId="0" quotePrefix="1" applyNumberFormat="1" applyFill="1" applyBorder="1"/>
    <xf numFmtId="3" fontId="0" fillId="19" borderId="8" xfId="0" applyNumberFormat="1" applyFont="1" applyFill="1" applyBorder="1"/>
    <xf numFmtId="3" fontId="0" fillId="19" borderId="47" xfId="0" applyNumberFormat="1" applyFill="1" applyBorder="1"/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2" fillId="12" borderId="0" xfId="6" applyFont="1" applyFill="1" applyBorder="1" applyAlignment="1">
      <alignment vertical="center" wrapText="1"/>
    </xf>
    <xf numFmtId="49" fontId="22" fillId="12" borderId="1" xfId="6" applyNumberFormat="1" applyFont="1" applyFill="1" applyBorder="1" applyAlignment="1">
      <alignment vertical="center"/>
    </xf>
    <xf numFmtId="0" fontId="22" fillId="12" borderId="16" xfId="6" applyFont="1" applyFill="1" applyBorder="1" applyAlignment="1">
      <alignment horizontal="center" vertical="center" textRotation="90"/>
    </xf>
    <xf numFmtId="3" fontId="22" fillId="12" borderId="3" xfId="0" applyNumberFormat="1" applyFont="1" applyFill="1" applyBorder="1" applyAlignment="1">
      <alignment horizontal="right" vertical="center"/>
    </xf>
    <xf numFmtId="3" fontId="22" fillId="12" borderId="3" xfId="6" applyNumberFormat="1" applyFont="1" applyFill="1" applyBorder="1" applyAlignment="1">
      <alignment vertical="center"/>
    </xf>
    <xf numFmtId="0" fontId="22" fillId="12" borderId="16" xfId="6" applyFont="1" applyFill="1" applyBorder="1" applyAlignment="1">
      <alignment horizontal="right" vertical="center"/>
    </xf>
    <xf numFmtId="0" fontId="22" fillId="12" borderId="3" xfId="6" applyFont="1" applyFill="1" applyBorder="1" applyAlignment="1">
      <alignment vertical="center"/>
    </xf>
    <xf numFmtId="0" fontId="75" fillId="12" borderId="0" xfId="6" applyFont="1" applyFill="1" applyAlignment="1">
      <alignment vertical="center"/>
    </xf>
    <xf numFmtId="3" fontId="5" fillId="20" borderId="0" xfId="0" applyNumberFormat="1" applyFont="1" applyFill="1" applyAlignment="1">
      <alignment vertical="center"/>
    </xf>
    <xf numFmtId="3" fontId="10" fillId="2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2" fillId="12" borderId="17" xfId="0" applyFont="1" applyFill="1" applyBorder="1" applyAlignment="1">
      <alignment vertical="center"/>
    </xf>
    <xf numFmtId="0" fontId="53" fillId="0" borderId="16" xfId="0" applyFont="1" applyBorder="1" applyAlignment="1">
      <alignment horizontal="center" vertical="center" wrapText="1"/>
    </xf>
    <xf numFmtId="3" fontId="23" fillId="17" borderId="16" xfId="6" applyNumberFormat="1" applyFont="1" applyFill="1" applyBorder="1" applyAlignment="1">
      <alignment horizontal="center" vertical="center"/>
    </xf>
    <xf numFmtId="3" fontId="22" fillId="17" borderId="16" xfId="6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3" fontId="83" fillId="0" borderId="0" xfId="0" applyNumberFormat="1" applyFont="1" applyFill="1" applyAlignment="1">
      <alignment horizontal="center" vertical="center"/>
    </xf>
    <xf numFmtId="3" fontId="10" fillId="5" borderId="16" xfId="0" applyNumberFormat="1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24" fillId="12" borderId="0" xfId="6" applyFont="1" applyFill="1" applyAlignment="1">
      <alignment vertical="center"/>
    </xf>
    <xf numFmtId="3" fontId="24" fillId="12" borderId="0" xfId="6" applyNumberFormat="1" applyFont="1" applyFill="1" applyAlignment="1">
      <alignment vertical="center"/>
    </xf>
    <xf numFmtId="0" fontId="32" fillId="12" borderId="0" xfId="6" applyFont="1" applyFill="1" applyAlignment="1">
      <alignment vertical="center"/>
    </xf>
    <xf numFmtId="3" fontId="32" fillId="12" borderId="0" xfId="6" applyNumberFormat="1" applyFont="1" applyFill="1" applyAlignment="1">
      <alignment vertical="center"/>
    </xf>
    <xf numFmtId="3" fontId="0" fillId="12" borderId="0" xfId="0" applyNumberFormat="1" applyFill="1"/>
    <xf numFmtId="3" fontId="0" fillId="12" borderId="47" xfId="0" applyNumberFormat="1" applyFill="1" applyBorder="1"/>
    <xf numFmtId="0" fontId="17" fillId="0" borderId="3" xfId="0" applyFont="1" applyFill="1" applyBorder="1" applyAlignment="1">
      <alignment horizontal="center" vertical="center"/>
    </xf>
    <xf numFmtId="0" fontId="66" fillId="12" borderId="16" xfId="0" applyFont="1" applyFill="1" applyBorder="1" applyAlignment="1">
      <alignment horizontal="center" vertical="center"/>
    </xf>
    <xf numFmtId="0" fontId="21" fillId="12" borderId="0" xfId="6" applyFont="1" applyFill="1" applyBorder="1" applyAlignment="1">
      <alignment horizontal="center" vertical="center"/>
    </xf>
    <xf numFmtId="0" fontId="8" fillId="12" borderId="18" xfId="6" applyFont="1" applyFill="1" applyBorder="1" applyAlignment="1">
      <alignment vertical="center"/>
    </xf>
    <xf numFmtId="0" fontId="8" fillId="12" borderId="0" xfId="6" applyFont="1" applyFill="1" applyBorder="1" applyAlignment="1">
      <alignment vertical="center" wrapText="1"/>
    </xf>
    <xf numFmtId="0" fontId="22" fillId="12" borderId="0" xfId="6" applyFont="1" applyFill="1" applyBorder="1" applyAlignment="1">
      <alignment horizontal="center" vertical="center"/>
    </xf>
    <xf numFmtId="0" fontId="23" fillId="12" borderId="0" xfId="6" applyFont="1" applyFill="1" applyBorder="1" applyAlignment="1">
      <alignment horizontal="right" vertical="center"/>
    </xf>
    <xf numFmtId="3" fontId="9" fillId="12" borderId="0" xfId="6" applyNumberFormat="1" applyFont="1" applyFill="1" applyAlignment="1">
      <alignment vertical="center" wrapText="1"/>
    </xf>
    <xf numFmtId="3" fontId="14" fillId="0" borderId="16" xfId="0" applyNumberFormat="1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81" fillId="12" borderId="0" xfId="0" applyFont="1" applyFill="1" applyAlignment="1">
      <alignment horizontal="right" vertical="top"/>
    </xf>
    <xf numFmtId="0" fontId="40" fillId="12" borderId="29" xfId="0" applyFont="1" applyFill="1" applyBorder="1" applyAlignment="1">
      <alignment vertical="center"/>
    </xf>
    <xf numFmtId="0" fontId="52" fillId="12" borderId="16" xfId="0" applyFont="1" applyFill="1" applyBorder="1" applyAlignment="1">
      <alignment vertical="center"/>
    </xf>
    <xf numFmtId="0" fontId="0" fillId="12" borderId="0" xfId="0" applyFill="1"/>
    <xf numFmtId="0" fontId="20" fillId="12" borderId="0" xfId="6" applyFont="1" applyFill="1" applyBorder="1" applyAlignment="1">
      <alignment horizontal="right" vertical="center"/>
    </xf>
    <xf numFmtId="0" fontId="9" fillId="12" borderId="0" xfId="6" applyFont="1" applyFill="1" applyAlignment="1">
      <alignment horizontal="center" vertical="center"/>
    </xf>
    <xf numFmtId="0" fontId="32" fillId="12" borderId="0" xfId="6" applyFont="1" applyFill="1" applyAlignment="1">
      <alignment horizontal="center" vertical="center"/>
    </xf>
    <xf numFmtId="0" fontId="62" fillId="0" borderId="0" xfId="0" applyFont="1"/>
    <xf numFmtId="0" fontId="87" fillId="0" borderId="0" xfId="0" applyFont="1" applyAlignment="1">
      <alignment vertical="distributed"/>
    </xf>
    <xf numFmtId="4" fontId="62" fillId="0" borderId="0" xfId="0" applyNumberFormat="1" applyFont="1"/>
    <xf numFmtId="0" fontId="62" fillId="14" borderId="0" xfId="0" applyFont="1" applyFill="1"/>
    <xf numFmtId="4" fontId="88" fillId="0" borderId="0" xfId="0" applyNumberFormat="1" applyFont="1"/>
    <xf numFmtId="4" fontId="62" fillId="0" borderId="0" xfId="0" applyNumberFormat="1" applyFont="1" applyFill="1"/>
    <xf numFmtId="0" fontId="88" fillId="0" borderId="0" xfId="0" applyFont="1"/>
    <xf numFmtId="0" fontId="9" fillId="17" borderId="0" xfId="6" applyFont="1" applyFill="1" applyAlignment="1">
      <alignment vertical="center"/>
    </xf>
    <xf numFmtId="0" fontId="19" fillId="20" borderId="0" xfId="0" applyFont="1" applyFill="1"/>
    <xf numFmtId="0" fontId="9" fillId="12" borderId="0" xfId="6" applyFont="1" applyFill="1" applyAlignment="1">
      <alignment horizontal="center" vertical="center"/>
    </xf>
    <xf numFmtId="0" fontId="32" fillId="12" borderId="0" xfId="6" applyFont="1" applyFill="1" applyAlignment="1">
      <alignment horizontal="center" vertical="center"/>
    </xf>
    <xf numFmtId="0" fontId="13" fillId="12" borderId="0" xfId="6" applyFont="1" applyFill="1" applyAlignment="1">
      <alignment horizontal="center" vertical="center"/>
    </xf>
    <xf numFmtId="3" fontId="21" fillId="12" borderId="16" xfId="6" applyNumberFormat="1" applyFont="1" applyFill="1" applyBorder="1" applyAlignment="1">
      <alignment horizontal="center" vertical="center"/>
    </xf>
    <xf numFmtId="3" fontId="21" fillId="12" borderId="16" xfId="6" applyNumberFormat="1" applyFont="1" applyFill="1" applyBorder="1" applyAlignment="1">
      <alignment horizontal="right" vertical="center"/>
    </xf>
    <xf numFmtId="0" fontId="53" fillId="0" borderId="16" xfId="0" applyFont="1" applyBorder="1" applyAlignment="1">
      <alignment horizontal="center" vertical="center" wrapText="1"/>
    </xf>
    <xf numFmtId="0" fontId="52" fillId="12" borderId="0" xfId="0" applyFont="1" applyFill="1"/>
    <xf numFmtId="0" fontId="53" fillId="0" borderId="16" xfId="0" applyFont="1" applyBorder="1" applyAlignment="1">
      <alignment vertical="center" wrapText="1"/>
    </xf>
    <xf numFmtId="0" fontId="53" fillId="0" borderId="16" xfId="0" applyFont="1" applyBorder="1" applyAlignment="1">
      <alignment vertical="center"/>
    </xf>
    <xf numFmtId="0" fontId="52" fillId="0" borderId="16" xfId="0" applyFont="1" applyBorder="1" applyAlignment="1">
      <alignment horizontal="left" vertical="center" wrapText="1"/>
    </xf>
    <xf numFmtId="4" fontId="0" fillId="12" borderId="0" xfId="0" applyNumberFormat="1" applyFill="1"/>
    <xf numFmtId="3" fontId="40" fillId="0" borderId="71" xfId="0" applyNumberFormat="1" applyFont="1" applyFill="1" applyBorder="1" applyAlignment="1">
      <alignment vertical="center"/>
    </xf>
    <xf numFmtId="0" fontId="13" fillId="12" borderId="1" xfId="6" applyFont="1" applyFill="1" applyBorder="1" applyAlignment="1">
      <alignment vertical="center"/>
    </xf>
    <xf numFmtId="0" fontId="23" fillId="12" borderId="16" xfId="0" applyFont="1" applyFill="1" applyBorder="1" applyAlignment="1">
      <alignment horizontal="left" vertical="center" wrapText="1"/>
    </xf>
    <xf numFmtId="3" fontId="23" fillId="12" borderId="3" xfId="6" applyNumberFormat="1" applyFont="1" applyFill="1" applyBorder="1" applyAlignment="1">
      <alignment vertical="center"/>
    </xf>
    <xf numFmtId="3" fontId="23" fillId="12" borderId="3" xfId="0" applyNumberFormat="1" applyFont="1" applyFill="1" applyBorder="1" applyAlignment="1">
      <alignment horizontal="right" vertical="center"/>
    </xf>
    <xf numFmtId="3" fontId="13" fillId="12" borderId="0" xfId="6" applyNumberFormat="1" applyFont="1" applyFill="1" applyAlignment="1">
      <alignment vertical="center"/>
    </xf>
    <xf numFmtId="0" fontId="9" fillId="0" borderId="0" xfId="6" applyFont="1" applyFill="1" applyAlignment="1">
      <alignment vertical="center"/>
    </xf>
    <xf numFmtId="0" fontId="14" fillId="0" borderId="0" xfId="6" applyFont="1" applyFill="1" applyBorder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13" fillId="0" borderId="0" xfId="6" applyFont="1" applyFill="1" applyAlignment="1">
      <alignment vertical="center"/>
    </xf>
    <xf numFmtId="3" fontId="8" fillId="0" borderId="0" xfId="6" applyNumberFormat="1" applyFont="1" applyFill="1" applyAlignment="1">
      <alignment horizontal="center" vertical="center"/>
    </xf>
    <xf numFmtId="0" fontId="75" fillId="0" borderId="0" xfId="6" applyFont="1" applyFill="1" applyAlignment="1">
      <alignment vertical="center"/>
    </xf>
    <xf numFmtId="0" fontId="13" fillId="0" borderId="3" xfId="6" applyFont="1" applyFill="1" applyBorder="1" applyAlignment="1">
      <alignment vertical="center"/>
    </xf>
    <xf numFmtId="0" fontId="13" fillId="0" borderId="0" xfId="6" applyFont="1" applyFill="1" applyAlignment="1"/>
    <xf numFmtId="3" fontId="9" fillId="0" borderId="0" xfId="6" applyNumberFormat="1" applyFont="1" applyFill="1" applyBorder="1" applyAlignment="1">
      <alignment vertical="center"/>
    </xf>
    <xf numFmtId="3" fontId="9" fillId="0" borderId="0" xfId="6" applyNumberFormat="1" applyFont="1" applyFill="1" applyAlignment="1">
      <alignment vertical="center"/>
    </xf>
    <xf numFmtId="3" fontId="14" fillId="0" borderId="0" xfId="6" applyNumberFormat="1" applyFont="1" applyFill="1" applyBorder="1" applyAlignment="1">
      <alignment horizontal="center" vertical="center"/>
    </xf>
    <xf numFmtId="3" fontId="8" fillId="0" borderId="0" xfId="6" applyNumberFormat="1" applyFont="1" applyFill="1" applyAlignment="1">
      <alignment vertical="center"/>
    </xf>
    <xf numFmtId="3" fontId="13" fillId="0" borderId="0" xfId="6" applyNumberFormat="1" applyFont="1" applyFill="1" applyAlignment="1">
      <alignment vertical="center"/>
    </xf>
    <xf numFmtId="3" fontId="75" fillId="0" borderId="0" xfId="6" applyNumberFormat="1" applyFont="1" applyFill="1" applyAlignment="1">
      <alignment vertical="center"/>
    </xf>
    <xf numFmtId="3" fontId="13" fillId="0" borderId="0" xfId="6" applyNumberFormat="1" applyFont="1" applyFill="1" applyBorder="1" applyAlignment="1">
      <alignment vertical="center"/>
    </xf>
    <xf numFmtId="3" fontId="13" fillId="0" borderId="0" xfId="6" applyNumberFormat="1" applyFont="1" applyFill="1" applyAlignment="1"/>
    <xf numFmtId="3" fontId="9" fillId="0" borderId="0" xfId="6" applyNumberFormat="1" applyFont="1" applyFill="1" applyBorder="1" applyAlignment="1">
      <alignment horizontal="right" vertical="center"/>
    </xf>
    <xf numFmtId="3" fontId="9" fillId="0" borderId="0" xfId="6" applyNumberFormat="1" applyFont="1" applyFill="1" applyAlignment="1">
      <alignment horizontal="right" vertical="center"/>
    </xf>
    <xf numFmtId="3" fontId="14" fillId="0" borderId="0" xfId="6" applyNumberFormat="1" applyFont="1" applyFill="1" applyBorder="1" applyAlignment="1">
      <alignment horizontal="right" vertical="center"/>
    </xf>
    <xf numFmtId="3" fontId="8" fillId="0" borderId="0" xfId="6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19" fillId="0" borderId="0" xfId="0" applyFont="1" applyFill="1"/>
    <xf numFmtId="3" fontId="89" fillId="0" borderId="0" xfId="0" applyNumberFormat="1" applyFont="1" applyFill="1" applyAlignment="1">
      <alignment horizontal="right" vertical="center"/>
    </xf>
    <xf numFmtId="0" fontId="39" fillId="0" borderId="0" xfId="0" applyFont="1" applyFill="1"/>
    <xf numFmtId="3" fontId="19" fillId="0" borderId="0" xfId="0" applyNumberFormat="1" applyFont="1" applyFill="1" applyAlignment="1">
      <alignment horizontal="right" vertical="center"/>
    </xf>
    <xf numFmtId="3" fontId="39" fillId="0" borderId="0" xfId="0" applyNumberFormat="1" applyFont="1" applyFill="1" applyAlignment="1">
      <alignment horizontal="right" vertical="center"/>
    </xf>
    <xf numFmtId="3" fontId="9" fillId="0" borderId="0" xfId="6" applyNumberFormat="1" applyFont="1" applyFill="1" applyBorder="1" applyAlignment="1">
      <alignment horizontal="center" vertical="center"/>
    </xf>
    <xf numFmtId="3" fontId="8" fillId="0" borderId="0" xfId="6" applyNumberFormat="1" applyFont="1" applyFill="1" applyBorder="1" applyAlignment="1">
      <alignment horizontal="right" vertical="center"/>
    </xf>
    <xf numFmtId="3" fontId="8" fillId="0" borderId="0" xfId="6" applyNumberFormat="1" applyFont="1" applyFill="1" applyBorder="1" applyAlignment="1">
      <alignment vertical="center"/>
    </xf>
    <xf numFmtId="3" fontId="8" fillId="0" borderId="0" xfId="6" applyNumberFormat="1" applyFont="1" applyFill="1" applyAlignment="1">
      <alignment horizontal="right"/>
    </xf>
    <xf numFmtId="3" fontId="8" fillId="0" borderId="0" xfId="6" applyNumberFormat="1" applyFont="1" applyFill="1" applyAlignment="1"/>
    <xf numFmtId="3" fontId="22" fillId="0" borderId="0" xfId="6" applyNumberFormat="1" applyFont="1" applyFill="1" applyBorder="1" applyAlignment="1">
      <alignment horizontal="right" vertical="center"/>
    </xf>
    <xf numFmtId="3" fontId="22" fillId="0" borderId="0" xfId="6" applyNumberFormat="1" applyFont="1" applyFill="1" applyAlignment="1">
      <alignment horizontal="right" vertical="center"/>
    </xf>
    <xf numFmtId="3" fontId="14" fillId="0" borderId="0" xfId="6" applyNumberFormat="1" applyFont="1" applyFill="1" applyAlignment="1">
      <alignment horizontal="right" vertical="center"/>
    </xf>
    <xf numFmtId="3" fontId="22" fillId="0" borderId="0" xfId="6" applyNumberFormat="1" applyFont="1" applyFill="1" applyAlignment="1">
      <alignment horizontal="right"/>
    </xf>
    <xf numFmtId="3" fontId="14" fillId="0" borderId="0" xfId="6" applyNumberFormat="1" applyFont="1" applyFill="1" applyAlignment="1">
      <alignment horizontal="right"/>
    </xf>
    <xf numFmtId="0" fontId="90" fillId="12" borderId="0" xfId="6" applyFont="1" applyFill="1" applyBorder="1" applyAlignment="1">
      <alignment vertical="center"/>
    </xf>
    <xf numFmtId="0" fontId="91" fillId="12" borderId="0" xfId="6" applyFont="1" applyFill="1" applyAlignment="1">
      <alignment vertical="center"/>
    </xf>
    <xf numFmtId="3" fontId="90" fillId="0" borderId="0" xfId="6" applyNumberFormat="1" applyFont="1" applyFill="1" applyAlignment="1">
      <alignment horizontal="right" vertical="center"/>
    </xf>
    <xf numFmtId="3" fontId="91" fillId="0" borderId="0" xfId="6" applyNumberFormat="1" applyFont="1" applyFill="1" applyAlignment="1">
      <alignment horizontal="right" vertical="center"/>
    </xf>
    <xf numFmtId="3" fontId="91" fillId="0" borderId="0" xfId="6" applyNumberFormat="1" applyFont="1" applyFill="1" applyAlignment="1">
      <alignment vertical="center"/>
    </xf>
    <xf numFmtId="0" fontId="91" fillId="0" borderId="0" xfId="6" applyFont="1" applyFill="1" applyAlignment="1">
      <alignment vertical="center"/>
    </xf>
    <xf numFmtId="3" fontId="92" fillId="12" borderId="0" xfId="6" applyNumberFormat="1" applyFont="1" applyFill="1" applyAlignment="1">
      <alignment vertical="center"/>
    </xf>
    <xf numFmtId="3" fontId="92" fillId="0" borderId="0" xfId="6" applyNumberFormat="1" applyFont="1" applyFill="1" applyAlignment="1">
      <alignment horizontal="right" vertical="center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/>
    <xf numFmtId="0" fontId="16" fillId="12" borderId="4" xfId="0" applyFont="1" applyFill="1" applyBorder="1"/>
    <xf numFmtId="3" fontId="16" fillId="12" borderId="5" xfId="0" applyNumberFormat="1" applyFont="1" applyFill="1" applyBorder="1"/>
    <xf numFmtId="3" fontId="16" fillId="12" borderId="46" xfId="0" applyNumberFormat="1" applyFont="1" applyFill="1" applyBorder="1"/>
    <xf numFmtId="0" fontId="16" fillId="12" borderId="6" xfId="0" applyFont="1" applyFill="1" applyBorder="1"/>
    <xf numFmtId="0" fontId="16" fillId="12" borderId="7" xfId="0" applyFont="1" applyFill="1" applyBorder="1"/>
    <xf numFmtId="3" fontId="16" fillId="12" borderId="8" xfId="0" applyNumberFormat="1" applyFont="1" applyFill="1" applyBorder="1"/>
    <xf numFmtId="3" fontId="16" fillId="12" borderId="47" xfId="0" applyNumberFormat="1" applyFont="1" applyFill="1" applyBorder="1"/>
    <xf numFmtId="3" fontId="16" fillId="12" borderId="9" xfId="0" applyNumberFormat="1" applyFont="1" applyFill="1" applyBorder="1"/>
    <xf numFmtId="0" fontId="16" fillId="12" borderId="50" xfId="0" applyFont="1" applyFill="1" applyBorder="1"/>
    <xf numFmtId="3" fontId="16" fillId="12" borderId="51" xfId="0" applyNumberFormat="1" applyFont="1" applyFill="1" applyBorder="1"/>
    <xf numFmtId="3" fontId="16" fillId="12" borderId="52" xfId="0" applyNumberFormat="1" applyFont="1" applyFill="1" applyBorder="1"/>
    <xf numFmtId="3" fontId="16" fillId="12" borderId="53" xfId="0" applyNumberFormat="1" applyFont="1" applyFill="1" applyBorder="1"/>
    <xf numFmtId="3" fontId="16" fillId="12" borderId="6" xfId="0" applyNumberFormat="1" applyFont="1" applyFill="1" applyBorder="1"/>
    <xf numFmtId="0" fontId="16" fillId="12" borderId="10" xfId="0" applyFont="1" applyFill="1" applyBorder="1"/>
    <xf numFmtId="3" fontId="16" fillId="12" borderId="11" xfId="0" applyNumberFormat="1" applyFont="1" applyFill="1" applyBorder="1"/>
    <xf numFmtId="3" fontId="16" fillId="12" borderId="12" xfId="0" applyNumberFormat="1" applyFont="1" applyFill="1" applyBorder="1"/>
    <xf numFmtId="0" fontId="16" fillId="12" borderId="4" xfId="0" applyFont="1" applyFill="1" applyBorder="1" applyAlignment="1">
      <alignment wrapText="1"/>
    </xf>
    <xf numFmtId="3" fontId="16" fillId="12" borderId="48" xfId="0" applyNumberFormat="1" applyFont="1" applyFill="1" applyBorder="1"/>
    <xf numFmtId="3" fontId="69" fillId="12" borderId="14" xfId="0" applyNumberFormat="1" applyFont="1" applyFill="1" applyBorder="1"/>
    <xf numFmtId="3" fontId="16" fillId="12" borderId="14" xfId="0" applyNumberFormat="1" applyFont="1" applyFill="1" applyBorder="1"/>
    <xf numFmtId="3" fontId="16" fillId="12" borderId="26" xfId="0" applyNumberFormat="1" applyFont="1" applyFill="1" applyBorder="1"/>
    <xf numFmtId="0" fontId="69" fillId="12" borderId="4" xfId="0" applyFont="1" applyFill="1" applyBorder="1"/>
    <xf numFmtId="3" fontId="69" fillId="12" borderId="5" xfId="0" applyNumberFormat="1" applyFont="1" applyFill="1" applyBorder="1"/>
    <xf numFmtId="3" fontId="69" fillId="12" borderId="6" xfId="0" applyNumberFormat="1" applyFont="1" applyFill="1" applyBorder="1"/>
    <xf numFmtId="0" fontId="69" fillId="12" borderId="10" xfId="0" applyFont="1" applyFill="1" applyBorder="1"/>
    <xf numFmtId="3" fontId="69" fillId="12" borderId="11" xfId="0" applyNumberFormat="1" applyFont="1" applyFill="1" applyBorder="1"/>
    <xf numFmtId="3" fontId="69" fillId="12" borderId="12" xfId="0" applyNumberFormat="1" applyFont="1" applyFill="1" applyBorder="1"/>
    <xf numFmtId="3" fontId="69" fillId="12" borderId="8" xfId="0" applyNumberFormat="1" applyFont="1" applyFill="1" applyBorder="1"/>
    <xf numFmtId="0" fontId="16" fillId="12" borderId="13" xfId="0" applyFont="1" applyFill="1" applyBorder="1"/>
    <xf numFmtId="3" fontId="16" fillId="12" borderId="49" xfId="0" applyNumberFormat="1" applyFont="1" applyFill="1" applyBorder="1"/>
    <xf numFmtId="0" fontId="16" fillId="12" borderId="26" xfId="0" applyFont="1" applyFill="1" applyBorder="1"/>
    <xf numFmtId="0" fontId="69" fillId="12" borderId="0" xfId="0" applyFont="1" applyFill="1" applyBorder="1" applyAlignment="1">
      <alignment horizontal="right"/>
    </xf>
    <xf numFmtId="0" fontId="93" fillId="12" borderId="0" xfId="0" applyFont="1" applyFill="1"/>
    <xf numFmtId="0" fontId="94" fillId="12" borderId="0" xfId="0" applyFont="1" applyFill="1" applyAlignment="1">
      <alignment vertical="center"/>
    </xf>
    <xf numFmtId="0" fontId="93" fillId="12" borderId="0" xfId="0" applyFont="1" applyFill="1" applyAlignment="1">
      <alignment horizontal="center" vertical="center"/>
    </xf>
    <xf numFmtId="4" fontId="93" fillId="12" borderId="0" xfId="0" applyNumberFormat="1" applyFont="1" applyFill="1"/>
    <xf numFmtId="0" fontId="93" fillId="12" borderId="0" xfId="0" applyFont="1" applyFill="1" applyAlignment="1">
      <alignment wrapText="1"/>
    </xf>
    <xf numFmtId="4" fontId="94" fillId="12" borderId="0" xfId="0" applyNumberFormat="1" applyFont="1" applyFill="1" applyAlignment="1">
      <alignment vertical="center"/>
    </xf>
    <xf numFmtId="0" fontId="23" fillId="12" borderId="3" xfId="6" applyFont="1" applyFill="1" applyBorder="1" applyAlignment="1">
      <alignment vertical="center"/>
    </xf>
    <xf numFmtId="3" fontId="22" fillId="12" borderId="3" xfId="0" applyNumberFormat="1" applyFont="1" applyFill="1" applyBorder="1" applyAlignment="1">
      <alignment vertical="center"/>
    </xf>
    <xf numFmtId="3" fontId="19" fillId="12" borderId="0" xfId="0" applyNumberFormat="1" applyFont="1" applyFill="1" applyAlignment="1">
      <alignment horizontal="center"/>
    </xf>
    <xf numFmtId="0" fontId="23" fillId="12" borderId="0" xfId="0" applyFont="1" applyFill="1" applyAlignment="1">
      <alignment horizontal="center" vertical="center" wrapText="1"/>
    </xf>
    <xf numFmtId="0" fontId="23" fillId="12" borderId="0" xfId="6" applyFont="1" applyFill="1" applyBorder="1" applyAlignment="1">
      <alignment horizontal="left" vertical="center" wrapText="1"/>
    </xf>
    <xf numFmtId="0" fontId="21" fillId="12" borderId="16" xfId="6" applyFont="1" applyFill="1" applyBorder="1" applyAlignment="1">
      <alignment vertical="center" wrapText="1"/>
    </xf>
    <xf numFmtId="3" fontId="21" fillId="12" borderId="16" xfId="6" applyNumberFormat="1" applyFont="1" applyFill="1" applyBorder="1" applyAlignment="1">
      <alignment horizontal="left" vertical="center" wrapText="1"/>
    </xf>
    <xf numFmtId="3" fontId="21" fillId="12" borderId="16" xfId="6" applyNumberFormat="1" applyFont="1" applyFill="1" applyBorder="1" applyAlignment="1">
      <alignment vertical="center" wrapText="1"/>
    </xf>
    <xf numFmtId="0" fontId="21" fillId="12" borderId="16" xfId="6" applyFont="1" applyFill="1" applyBorder="1" applyAlignment="1">
      <alignment horizontal="left" vertical="center" wrapText="1"/>
    </xf>
    <xf numFmtId="0" fontId="21" fillId="12" borderId="15" xfId="0" applyFont="1" applyFill="1" applyBorder="1" applyAlignment="1">
      <alignment horizontal="left" vertical="center" wrapText="1"/>
    </xf>
    <xf numFmtId="3" fontId="20" fillId="12" borderId="3" xfId="0" applyNumberFormat="1" applyFont="1" applyFill="1" applyBorder="1" applyAlignment="1">
      <alignment horizontal="right" vertical="center" wrapText="1"/>
    </xf>
    <xf numFmtId="0" fontId="20" fillId="12" borderId="3" xfId="6" applyFont="1" applyFill="1" applyBorder="1" applyAlignment="1">
      <alignment horizontal="right" vertical="center" wrapText="1"/>
    </xf>
    <xf numFmtId="0" fontId="20" fillId="12" borderId="0" xfId="6" applyFont="1" applyFill="1" applyAlignment="1">
      <alignment horizontal="right" vertical="center" wrapText="1"/>
    </xf>
    <xf numFmtId="0" fontId="22" fillId="12" borderId="16" xfId="4" applyFont="1" applyFill="1" applyBorder="1" applyAlignment="1">
      <alignment horizontal="left" vertical="center" wrapText="1"/>
    </xf>
    <xf numFmtId="0" fontId="80" fillId="12" borderId="0" xfId="0" applyFont="1" applyFill="1" applyAlignment="1">
      <alignment vertical="top" wrapText="1"/>
    </xf>
    <xf numFmtId="0" fontId="24" fillId="12" borderId="0" xfId="6" applyFont="1" applyFill="1" applyAlignment="1">
      <alignment horizontal="center" vertical="center"/>
    </xf>
    <xf numFmtId="0" fontId="13" fillId="12" borderId="0" xfId="6" applyFont="1" applyFill="1" applyAlignment="1">
      <alignment horizontal="center" vertical="center"/>
    </xf>
    <xf numFmtId="0" fontId="23" fillId="12" borderId="0" xfId="0" applyFont="1" applyFill="1" applyAlignment="1">
      <alignment horizontal="center" vertical="center" wrapText="1"/>
    </xf>
    <xf numFmtId="0" fontId="23" fillId="12" borderId="0" xfId="6" applyFont="1" applyFill="1" applyBorder="1" applyAlignment="1">
      <alignment horizontal="left" vertical="center" wrapText="1"/>
    </xf>
    <xf numFmtId="172" fontId="14" fillId="0" borderId="0" xfId="26" applyNumberFormat="1" applyFont="1" applyAlignment="1">
      <alignment vertical="center"/>
    </xf>
    <xf numFmtId="3" fontId="6" fillId="17" borderId="0" xfId="0" applyNumberFormat="1" applyFont="1" applyFill="1" applyAlignment="1">
      <alignment horizontal="right" vertical="center"/>
    </xf>
    <xf numFmtId="3" fontId="19" fillId="17" borderId="0" xfId="0" applyNumberFormat="1" applyFont="1" applyFill="1" applyAlignment="1">
      <alignment horizontal="right" vertical="center"/>
    </xf>
    <xf numFmtId="0" fontId="19" fillId="17" borderId="0" xfId="0" applyFont="1" applyFill="1"/>
    <xf numFmtId="0" fontId="76" fillId="17" borderId="0" xfId="0" applyFont="1" applyFill="1"/>
    <xf numFmtId="0" fontId="22" fillId="0" borderId="16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vertical="center"/>
    </xf>
    <xf numFmtId="3" fontId="5" fillId="0" borderId="47" xfId="0" applyNumberFormat="1" applyFont="1" applyFill="1" applyBorder="1"/>
    <xf numFmtId="0" fontId="0" fillId="0" borderId="16" xfId="0" applyBorder="1"/>
    <xf numFmtId="0" fontId="70" fillId="0" borderId="16" xfId="0" applyFont="1" applyBorder="1"/>
    <xf numFmtId="0" fontId="17" fillId="0" borderId="1" xfId="0" applyFont="1" applyFill="1" applyBorder="1" applyAlignment="1">
      <alignment vertical="center"/>
    </xf>
    <xf numFmtId="3" fontId="0" fillId="0" borderId="46" xfId="0" applyNumberFormat="1" applyBorder="1"/>
    <xf numFmtId="10" fontId="0" fillId="11" borderId="47" xfId="0" applyNumberFormat="1" applyFill="1" applyBorder="1"/>
    <xf numFmtId="3" fontId="0" fillId="0" borderId="47" xfId="0" applyNumberFormat="1" applyFill="1" applyBorder="1"/>
    <xf numFmtId="10" fontId="0" fillId="0" borderId="47" xfId="0" applyNumberFormat="1" applyBorder="1"/>
    <xf numFmtId="0" fontId="19" fillId="0" borderId="16" xfId="0" applyFont="1" applyBorder="1" applyAlignment="1">
      <alignment vertical="distributed"/>
    </xf>
    <xf numFmtId="3" fontId="69" fillId="12" borderId="46" xfId="0" applyNumberFormat="1" applyFont="1" applyFill="1" applyBorder="1"/>
    <xf numFmtId="3" fontId="69" fillId="12" borderId="48" xfId="0" applyNumberFormat="1" applyFont="1" applyFill="1" applyBorder="1"/>
    <xf numFmtId="0" fontId="74" fillId="0" borderId="16" xfId="0" applyFont="1" applyBorder="1" applyAlignment="1">
      <alignment vertical="center"/>
    </xf>
    <xf numFmtId="0" fontId="22" fillId="12" borderId="16" xfId="0" applyFont="1" applyFill="1" applyBorder="1" applyAlignment="1">
      <alignment horizontal="center" vertical="center" wrapText="1"/>
    </xf>
    <xf numFmtId="3" fontId="22" fillId="12" borderId="1" xfId="6" applyNumberFormat="1" applyFont="1" applyFill="1" applyBorder="1" applyAlignment="1">
      <alignment horizontal="center" vertical="center"/>
    </xf>
    <xf numFmtId="3" fontId="23" fillId="12" borderId="1" xfId="6" applyNumberFormat="1" applyFont="1" applyFill="1" applyBorder="1" applyAlignment="1">
      <alignment horizontal="center" vertical="center"/>
    </xf>
    <xf numFmtId="3" fontId="22" fillId="1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9" fillId="13" borderId="0" xfId="6" applyFont="1" applyFill="1" applyAlignment="1">
      <alignment horizontal="center" vertical="center"/>
    </xf>
    <xf numFmtId="0" fontId="9" fillId="13" borderId="0" xfId="6" applyFont="1" applyFill="1" applyAlignment="1">
      <alignment vertical="center"/>
    </xf>
    <xf numFmtId="3" fontId="8" fillId="13" borderId="0" xfId="6" applyNumberFormat="1" applyFont="1" applyFill="1" applyAlignment="1">
      <alignment vertical="center"/>
    </xf>
    <xf numFmtId="3" fontId="22" fillId="13" borderId="0" xfId="6" applyNumberFormat="1" applyFont="1" applyFill="1" applyAlignment="1">
      <alignment horizontal="right" vertical="center"/>
    </xf>
    <xf numFmtId="3" fontId="14" fillId="13" borderId="0" xfId="6" applyNumberFormat="1" applyFont="1" applyFill="1" applyAlignment="1">
      <alignment horizontal="right" vertical="center"/>
    </xf>
    <xf numFmtId="3" fontId="92" fillId="13" borderId="0" xfId="6" applyNumberFormat="1" applyFont="1" applyFill="1" applyAlignment="1">
      <alignment horizontal="right" vertical="center"/>
    </xf>
    <xf numFmtId="3" fontId="9" fillId="13" borderId="0" xfId="6" applyNumberFormat="1" applyFont="1" applyFill="1" applyAlignment="1">
      <alignment horizontal="right" vertical="center"/>
    </xf>
    <xf numFmtId="3" fontId="9" fillId="13" borderId="0" xfId="6" applyNumberFormat="1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3" fontId="10" fillId="13" borderId="0" xfId="0" applyNumberFormat="1" applyFont="1" applyFill="1" applyAlignment="1">
      <alignment vertical="center"/>
    </xf>
    <xf numFmtId="0" fontId="22" fillId="12" borderId="0" xfId="0" applyFont="1" applyFill="1" applyAlignment="1">
      <alignment horizontal="center"/>
    </xf>
    <xf numFmtId="3" fontId="22" fillId="12" borderId="0" xfId="0" applyNumberFormat="1" applyFont="1" applyFill="1" applyBorder="1" applyAlignment="1">
      <alignment horizontal="center" vertical="center"/>
    </xf>
    <xf numFmtId="3" fontId="22" fillId="12" borderId="3" xfId="0" applyNumberFormat="1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center" vertical="center"/>
    </xf>
    <xf numFmtId="3" fontId="23" fillId="12" borderId="0" xfId="0" applyNumberFormat="1" applyFont="1" applyFill="1" applyAlignment="1">
      <alignment horizontal="center" vertical="center"/>
    </xf>
    <xf numFmtId="3" fontId="22" fillId="12" borderId="0" xfId="0" applyNumberFormat="1" applyFont="1" applyFill="1" applyAlignment="1">
      <alignment horizontal="center" vertical="center"/>
    </xf>
    <xf numFmtId="3" fontId="10" fillId="12" borderId="0" xfId="0" applyNumberFormat="1" applyFont="1" applyFill="1" applyAlignment="1">
      <alignment vertical="center"/>
    </xf>
    <xf numFmtId="0" fontId="5" fillId="13" borderId="0" xfId="0" applyFont="1" applyFill="1" applyAlignment="1">
      <alignment horizontal="right"/>
    </xf>
    <xf numFmtId="0" fontId="5" fillId="13" borderId="0" xfId="6" applyFont="1" applyFill="1" applyBorder="1" applyAlignment="1">
      <alignment horizontal="right" vertical="center"/>
    </xf>
    <xf numFmtId="0" fontId="5" fillId="13" borderId="0" xfId="0" applyFont="1" applyFill="1" applyAlignment="1">
      <alignment vertical="center"/>
    </xf>
    <xf numFmtId="3" fontId="5" fillId="13" borderId="0" xfId="0" applyNumberFormat="1" applyFont="1" applyFill="1" applyAlignment="1">
      <alignment vertical="center"/>
    </xf>
    <xf numFmtId="0" fontId="26" fillId="13" borderId="0" xfId="0" applyFont="1" applyFill="1" applyAlignment="1">
      <alignment vertical="center"/>
    </xf>
    <xf numFmtId="3" fontId="63" fillId="18" borderId="0" xfId="0" applyNumberFormat="1" applyFont="1" applyFill="1"/>
    <xf numFmtId="3" fontId="63" fillId="18" borderId="47" xfId="0" applyNumberFormat="1" applyFont="1" applyFill="1" applyBorder="1"/>
    <xf numFmtId="3" fontId="22" fillId="12" borderId="0" xfId="0" applyNumberFormat="1" applyFont="1" applyFill="1" applyBorder="1" applyAlignment="1">
      <alignment horizontal="right" vertical="center"/>
    </xf>
    <xf numFmtId="3" fontId="21" fillId="12" borderId="0" xfId="6" applyNumberFormat="1" applyFont="1" applyFill="1" applyBorder="1" applyAlignment="1">
      <alignment horizontal="right" vertical="center"/>
    </xf>
    <xf numFmtId="0" fontId="21" fillId="12" borderId="0" xfId="6" applyFont="1" applyFill="1" applyBorder="1" applyAlignment="1">
      <alignment horizontal="right" vertical="center"/>
    </xf>
    <xf numFmtId="0" fontId="9" fillId="12" borderId="0" xfId="6" applyFont="1" applyFill="1" applyBorder="1" applyAlignment="1">
      <alignment horizontal="right" vertical="center"/>
    </xf>
    <xf numFmtId="3" fontId="9" fillId="12" borderId="0" xfId="6" applyNumberFormat="1" applyFont="1" applyFill="1" applyBorder="1" applyAlignment="1">
      <alignment horizontal="right" vertical="center"/>
    </xf>
    <xf numFmtId="0" fontId="21" fillId="12" borderId="16" xfId="6" applyFont="1" applyFill="1" applyBorder="1" applyAlignment="1">
      <alignment horizontal="center" vertical="center" wrapText="1"/>
    </xf>
    <xf numFmtId="0" fontId="9" fillId="12" borderId="0" xfId="6" applyFont="1" applyFill="1" applyAlignment="1">
      <alignment horizontal="center" vertical="center"/>
    </xf>
    <xf numFmtId="0" fontId="22" fillId="12" borderId="16" xfId="6" applyFont="1" applyFill="1" applyBorder="1" applyAlignment="1">
      <alignment vertical="center" wrapText="1"/>
    </xf>
    <xf numFmtId="3" fontId="22" fillId="12" borderId="16" xfId="6" applyNumberFormat="1" applyFont="1" applyFill="1" applyBorder="1" applyAlignment="1">
      <alignment horizontal="left" vertical="center" wrapText="1"/>
    </xf>
    <xf numFmtId="3" fontId="22" fillId="12" borderId="16" xfId="6" applyNumberFormat="1" applyFont="1" applyFill="1" applyBorder="1" applyAlignment="1">
      <alignment vertical="center" wrapText="1"/>
    </xf>
    <xf numFmtId="0" fontId="22" fillId="12" borderId="16" xfId="6" applyFont="1" applyFill="1" applyBorder="1" applyAlignment="1">
      <alignment horizontal="left" vertical="center" wrapText="1"/>
    </xf>
    <xf numFmtId="3" fontId="6" fillId="12" borderId="0" xfId="0" applyNumberFormat="1" applyFont="1" applyFill="1" applyAlignment="1">
      <alignment horizontal="right" vertical="center"/>
    </xf>
    <xf numFmtId="0" fontId="21" fillId="12" borderId="0" xfId="6" applyFont="1" applyFill="1" applyBorder="1" applyAlignment="1">
      <alignment horizontal="center" vertical="center" wrapText="1"/>
    </xf>
    <xf numFmtId="3" fontId="89" fillId="12" borderId="0" xfId="0" applyNumberFormat="1" applyFont="1" applyFill="1" applyAlignment="1">
      <alignment horizontal="right" vertical="center"/>
    </xf>
    <xf numFmtId="0" fontId="22" fillId="12" borderId="15" xfId="0" applyFont="1" applyFill="1" applyBorder="1" applyAlignment="1">
      <alignment horizontal="center" vertical="center"/>
    </xf>
    <xf numFmtId="3" fontId="22" fillId="12" borderId="0" xfId="6" applyNumberFormat="1" applyFont="1" applyFill="1" applyAlignment="1">
      <alignment horizontal="right" vertical="center"/>
    </xf>
    <xf numFmtId="3" fontId="14" fillId="12" borderId="0" xfId="6" applyNumberFormat="1" applyFont="1" applyFill="1" applyAlignment="1">
      <alignment horizontal="right" vertical="center"/>
    </xf>
    <xf numFmtId="3" fontId="92" fillId="12" borderId="0" xfId="6" applyNumberFormat="1" applyFont="1" applyFill="1" applyAlignment="1">
      <alignment horizontal="right" vertical="center"/>
    </xf>
    <xf numFmtId="3" fontId="9" fillId="12" borderId="0" xfId="6" applyNumberFormat="1" applyFont="1" applyFill="1" applyAlignment="1">
      <alignment horizontal="right" vertical="center"/>
    </xf>
    <xf numFmtId="3" fontId="75" fillId="12" borderId="0" xfId="6" applyNumberFormat="1" applyFont="1" applyFill="1" applyAlignment="1">
      <alignment vertical="center"/>
    </xf>
    <xf numFmtId="0" fontId="21" fillId="12" borderId="3" xfId="0" applyFont="1" applyFill="1" applyBorder="1" applyAlignment="1">
      <alignment vertical="center" wrapText="1"/>
    </xf>
    <xf numFmtId="0" fontId="21" fillId="12" borderId="15" xfId="6" applyFont="1" applyFill="1" applyBorder="1" applyAlignment="1">
      <alignment horizontal="center" vertical="center" wrapText="1"/>
    </xf>
    <xf numFmtId="0" fontId="21" fillId="12" borderId="16" xfId="6" applyNumberFormat="1" applyFont="1" applyFill="1" applyBorder="1" applyAlignment="1">
      <alignment horizontal="center" vertical="center"/>
    </xf>
    <xf numFmtId="0" fontId="21" fillId="12" borderId="16" xfId="0" applyFont="1" applyFill="1" applyBorder="1" applyAlignment="1">
      <alignment horizontal="center" vertical="center"/>
    </xf>
    <xf numFmtId="3" fontId="21" fillId="12" borderId="0" xfId="6" applyNumberFormat="1" applyFont="1" applyFill="1" applyAlignment="1">
      <alignment horizontal="right" vertical="center"/>
    </xf>
    <xf numFmtId="3" fontId="23" fillId="12" borderId="0" xfId="0" applyNumberFormat="1" applyFont="1" applyFill="1" applyBorder="1" applyAlignment="1">
      <alignment horizontal="right" vertical="center"/>
    </xf>
    <xf numFmtId="3" fontId="23" fillId="12" borderId="0" xfId="6" applyNumberFormat="1" applyFont="1" applyFill="1" applyBorder="1" applyAlignment="1">
      <alignment horizontal="right" vertical="center"/>
    </xf>
    <xf numFmtId="0" fontId="13" fillId="12" borderId="0" xfId="6" applyFont="1" applyFill="1" applyBorder="1" applyAlignment="1">
      <alignment horizontal="right" vertical="center"/>
    </xf>
    <xf numFmtId="0" fontId="22" fillId="12" borderId="3" xfId="6" applyFont="1" applyFill="1" applyBorder="1" applyAlignment="1">
      <alignment horizontal="right" vertical="center"/>
    </xf>
    <xf numFmtId="0" fontId="8" fillId="12" borderId="0" xfId="6" applyFont="1" applyFill="1" applyBorder="1" applyAlignment="1">
      <alignment horizontal="right" vertical="center"/>
    </xf>
    <xf numFmtId="3" fontId="82" fillId="12" borderId="0" xfId="0" applyNumberFormat="1" applyFont="1" applyFill="1" applyBorder="1" applyAlignment="1">
      <alignment horizontal="right" vertical="center"/>
    </xf>
    <xf numFmtId="3" fontId="82" fillId="12" borderId="0" xfId="6" applyNumberFormat="1" applyFont="1" applyFill="1" applyBorder="1" applyAlignment="1">
      <alignment horizontal="right" vertical="center"/>
    </xf>
    <xf numFmtId="0" fontId="82" fillId="12" borderId="0" xfId="6" applyFont="1" applyFill="1" applyBorder="1" applyAlignment="1">
      <alignment horizontal="right" vertical="center"/>
    </xf>
    <xf numFmtId="0" fontId="90" fillId="12" borderId="0" xfId="6" applyFont="1" applyFill="1" applyBorder="1" applyAlignment="1">
      <alignment horizontal="right" vertical="center"/>
    </xf>
    <xf numFmtId="3" fontId="90" fillId="12" borderId="0" xfId="6" applyNumberFormat="1" applyFont="1" applyFill="1" applyBorder="1" applyAlignment="1">
      <alignment horizontal="right" vertical="center"/>
    </xf>
    <xf numFmtId="0" fontId="9" fillId="17" borderId="0" xfId="6" applyFont="1" applyFill="1" applyAlignment="1">
      <alignment horizontal="center" vertical="center"/>
    </xf>
    <xf numFmtId="3" fontId="8" fillId="17" borderId="0" xfId="6" applyNumberFormat="1" applyFont="1" applyFill="1" applyAlignment="1">
      <alignment vertical="center"/>
    </xf>
    <xf numFmtId="3" fontId="22" fillId="17" borderId="0" xfId="6" applyNumberFormat="1" applyFont="1" applyFill="1" applyAlignment="1">
      <alignment horizontal="right" vertical="center"/>
    </xf>
    <xf numFmtId="3" fontId="14" fillId="17" borderId="0" xfId="6" applyNumberFormat="1" applyFont="1" applyFill="1" applyAlignment="1">
      <alignment horizontal="right" vertical="center"/>
    </xf>
    <xf numFmtId="3" fontId="92" fillId="17" borderId="0" xfId="6" applyNumberFormat="1" applyFont="1" applyFill="1" applyAlignment="1">
      <alignment horizontal="right" vertical="center"/>
    </xf>
    <xf numFmtId="3" fontId="9" fillId="17" borderId="0" xfId="6" applyNumberFormat="1" applyFont="1" applyFill="1" applyAlignment="1">
      <alignment horizontal="right" vertical="center"/>
    </xf>
    <xf numFmtId="3" fontId="9" fillId="17" borderId="0" xfId="6" applyNumberFormat="1" applyFont="1" applyFill="1" applyAlignment="1">
      <alignment vertical="center"/>
    </xf>
    <xf numFmtId="3" fontId="82" fillId="12" borderId="16" xfId="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 wrapText="1"/>
    </xf>
    <xf numFmtId="3" fontId="40" fillId="17" borderId="71" xfId="0" applyNumberFormat="1" applyFont="1" applyFill="1" applyBorder="1" applyAlignment="1">
      <alignment vertical="center"/>
    </xf>
    <xf numFmtId="0" fontId="14" fillId="17" borderId="0" xfId="0" applyFont="1" applyFill="1" applyAlignment="1">
      <alignment vertical="center"/>
    </xf>
    <xf numFmtId="0" fontId="14" fillId="17" borderId="15" xfId="0" applyFont="1" applyFill="1" applyBorder="1" applyAlignment="1">
      <alignment horizontal="center" vertical="center"/>
    </xf>
    <xf numFmtId="3" fontId="13" fillId="17" borderId="16" xfId="0" applyNumberFormat="1" applyFont="1" applyFill="1" applyBorder="1" applyAlignment="1">
      <alignment vertical="center"/>
    </xf>
    <xf numFmtId="3" fontId="14" fillId="17" borderId="16" xfId="0" applyNumberFormat="1" applyFont="1" applyFill="1" applyBorder="1" applyAlignment="1">
      <alignment vertical="center"/>
    </xf>
    <xf numFmtId="3" fontId="13" fillId="17" borderId="86" xfId="0" applyNumberFormat="1" applyFont="1" applyFill="1" applyBorder="1" applyAlignment="1">
      <alignment vertical="center"/>
    </xf>
    <xf numFmtId="3" fontId="14" fillId="17" borderId="17" xfId="0" applyNumberFormat="1" applyFont="1" applyFill="1" applyBorder="1" applyAlignment="1">
      <alignment vertical="center"/>
    </xf>
    <xf numFmtId="172" fontId="14" fillId="17" borderId="0" xfId="26" applyNumberFormat="1" applyFont="1" applyFill="1" applyAlignment="1">
      <alignment vertical="center"/>
    </xf>
    <xf numFmtId="0" fontId="22" fillId="17" borderId="16" xfId="0" applyFont="1" applyFill="1" applyBorder="1" applyAlignment="1">
      <alignment horizontal="center" vertical="center" wrapText="1"/>
    </xf>
    <xf numFmtId="0" fontId="22" fillId="17" borderId="16" xfId="0" applyFont="1" applyFill="1" applyBorder="1" applyAlignment="1">
      <alignment horizontal="center" vertical="center"/>
    </xf>
    <xf numFmtId="3" fontId="0" fillId="17" borderId="0" xfId="0" applyNumberFormat="1" applyFill="1"/>
    <xf numFmtId="3" fontId="5" fillId="17" borderId="8" xfId="0" applyNumberFormat="1" applyFont="1" applyFill="1" applyBorder="1"/>
    <xf numFmtId="0" fontId="92" fillId="12" borderId="0" xfId="6" applyFont="1" applyFill="1" applyBorder="1" applyAlignment="1">
      <alignment vertical="center"/>
    </xf>
    <xf numFmtId="3" fontId="92" fillId="12" borderId="0" xfId="6" applyNumberFormat="1" applyFont="1" applyFill="1" applyBorder="1" applyAlignment="1">
      <alignment vertical="center"/>
    </xf>
    <xf numFmtId="3" fontId="96" fillId="0" borderId="0" xfId="29" applyNumberFormat="1" applyFont="1" applyFill="1" applyBorder="1" applyAlignment="1">
      <alignment horizontal="right"/>
    </xf>
    <xf numFmtId="3" fontId="97" fillId="0" borderId="0" xfId="29" applyNumberFormat="1" applyFont="1" applyFill="1" applyBorder="1" applyAlignment="1">
      <alignment horizontal="right"/>
    </xf>
    <xf numFmtId="0" fontId="19" fillId="12" borderId="0" xfId="0" applyFont="1" applyFill="1" applyBorder="1"/>
    <xf numFmtId="3" fontId="5" fillId="17" borderId="47" xfId="0" applyNumberFormat="1" applyFont="1" applyFill="1" applyBorder="1"/>
    <xf numFmtId="3" fontId="8" fillId="12" borderId="0" xfId="6" applyNumberFormat="1" applyFont="1" applyFill="1" applyBorder="1" applyAlignment="1">
      <alignment horizontal="center" vertical="center"/>
    </xf>
    <xf numFmtId="0" fontId="22" fillId="12" borderId="3" xfId="6" applyFont="1" applyFill="1" applyBorder="1" applyAlignment="1">
      <alignment horizontal="left" vertical="center"/>
    </xf>
    <xf numFmtId="0" fontId="20" fillId="12" borderId="0" xfId="6" applyFont="1" applyFill="1" applyBorder="1" applyAlignment="1">
      <alignment horizontal="right" vertical="center"/>
    </xf>
    <xf numFmtId="0" fontId="22" fillId="12" borderId="16" xfId="6" applyFont="1" applyFill="1" applyBorder="1" applyAlignment="1">
      <alignment horizontal="center" vertical="center" textRotation="90" wrapText="1"/>
    </xf>
    <xf numFmtId="0" fontId="22" fillId="12" borderId="16" xfId="6" applyFont="1" applyFill="1" applyBorder="1" applyAlignment="1">
      <alignment horizontal="center" vertical="center"/>
    </xf>
    <xf numFmtId="0" fontId="22" fillId="12" borderId="16" xfId="6" applyFont="1" applyFill="1" applyBorder="1" applyAlignment="1">
      <alignment horizontal="center" vertical="center" wrapText="1"/>
    </xf>
    <xf numFmtId="0" fontId="22" fillId="12" borderId="0" xfId="6" applyFont="1" applyFill="1" applyBorder="1" applyAlignment="1">
      <alignment horizontal="center" vertical="center" wrapText="1"/>
    </xf>
    <xf numFmtId="0" fontId="20" fillId="12" borderId="0" xfId="6" applyFont="1" applyFill="1" applyBorder="1" applyAlignment="1">
      <alignment horizontal="left" vertical="center" wrapText="1"/>
    </xf>
    <xf numFmtId="0" fontId="20" fillId="12" borderId="0" xfId="6" applyFont="1" applyFill="1" applyBorder="1" applyAlignment="1">
      <alignment horizontal="center" vertical="center" wrapText="1"/>
    </xf>
    <xf numFmtId="0" fontId="22" fillId="12" borderId="2" xfId="6" applyFont="1" applyFill="1" applyBorder="1" applyAlignment="1">
      <alignment horizontal="left" vertical="center" wrapText="1"/>
    </xf>
    <xf numFmtId="49" fontId="22" fillId="12" borderId="0" xfId="6" applyNumberFormat="1" applyFont="1" applyFill="1" applyBorder="1" applyAlignment="1">
      <alignment horizontal="right" vertical="center"/>
    </xf>
    <xf numFmtId="0" fontId="14" fillId="12" borderId="0" xfId="6" applyFont="1" applyFill="1" applyBorder="1" applyAlignment="1">
      <alignment horizontal="right" vertical="center"/>
    </xf>
    <xf numFmtId="3" fontId="22" fillId="12" borderId="0" xfId="6" applyNumberFormat="1" applyFont="1" applyFill="1" applyBorder="1" applyAlignment="1">
      <alignment horizontal="right" vertical="center"/>
    </xf>
    <xf numFmtId="0" fontId="22" fillId="12" borderId="0" xfId="6" applyFont="1" applyFill="1" applyBorder="1" applyAlignment="1">
      <alignment horizontal="left" vertical="center" wrapText="1"/>
    </xf>
    <xf numFmtId="3" fontId="22" fillId="12" borderId="16" xfId="6" applyNumberFormat="1" applyFont="1" applyFill="1" applyBorder="1" applyAlignment="1">
      <alignment horizontal="left" vertical="center"/>
    </xf>
    <xf numFmtId="49" fontId="22" fillId="12" borderId="16" xfId="0" applyNumberFormat="1" applyFont="1" applyFill="1" applyBorder="1" applyAlignment="1">
      <alignment horizontal="center" vertical="center" wrapText="1"/>
    </xf>
    <xf numFmtId="0" fontId="21" fillId="12" borderId="15" xfId="6" applyNumberFormat="1" applyFont="1" applyFill="1" applyBorder="1" applyAlignment="1">
      <alignment horizontal="center" vertical="center"/>
    </xf>
    <xf numFmtId="3" fontId="90" fillId="12" borderId="0" xfId="6" applyNumberFormat="1" applyFont="1" applyFill="1" applyAlignment="1">
      <alignment horizontal="right" vertical="center"/>
    </xf>
    <xf numFmtId="3" fontId="91" fillId="12" borderId="0" xfId="6" applyNumberFormat="1" applyFont="1" applyFill="1" applyAlignment="1">
      <alignment horizontal="right" vertical="center"/>
    </xf>
    <xf numFmtId="3" fontId="91" fillId="12" borderId="0" xfId="6" applyNumberFormat="1" applyFont="1" applyFill="1" applyAlignment="1">
      <alignment vertical="center"/>
    </xf>
    <xf numFmtId="3" fontId="14" fillId="12" borderId="16" xfId="0" applyNumberFormat="1" applyFont="1" applyFill="1" applyBorder="1" applyAlignment="1">
      <alignment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17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59" xfId="0" applyBorder="1" applyAlignment="1">
      <alignment vertical="center"/>
    </xf>
    <xf numFmtId="0" fontId="39" fillId="14" borderId="27" xfId="0" applyFont="1" applyFill="1" applyBorder="1" applyAlignment="1">
      <alignment vertical="center" wrapText="1"/>
    </xf>
    <xf numFmtId="0" fontId="39" fillId="14" borderId="3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3" fontId="0" fillId="0" borderId="3" xfId="0" applyNumberFormat="1" applyFill="1" applyBorder="1" applyAlignment="1">
      <alignment vertical="center" wrapText="1"/>
    </xf>
    <xf numFmtId="3" fontId="0" fillId="14" borderId="3" xfId="0" applyNumberFormat="1" applyFill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3" fontId="0" fillId="0" borderId="95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96" xfId="0" applyNumberFormat="1" applyBorder="1" applyAlignment="1">
      <alignment vertical="center"/>
    </xf>
    <xf numFmtId="3" fontId="39" fillId="0" borderId="16" xfId="0" applyNumberFormat="1" applyFont="1" applyFill="1" applyBorder="1" applyAlignment="1">
      <alignment vertical="center"/>
    </xf>
    <xf numFmtId="3" fontId="39" fillId="0" borderId="62" xfId="0" applyNumberFormat="1" applyFont="1" applyFill="1" applyBorder="1" applyAlignment="1">
      <alignment vertical="center"/>
    </xf>
    <xf numFmtId="3" fontId="39" fillId="0" borderId="63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0" fontId="39" fillId="14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3" fontId="0" fillId="0" borderId="62" xfId="0" applyNumberFormat="1" applyFill="1" applyBorder="1" applyAlignment="1">
      <alignment vertical="center" wrapText="1"/>
    </xf>
    <xf numFmtId="3" fontId="0" fillId="0" borderId="84" xfId="0" applyNumberFormat="1" applyFill="1" applyBorder="1" applyAlignment="1">
      <alignment vertical="center" wrapText="1"/>
    </xf>
    <xf numFmtId="3" fontId="0" fillId="14" borderId="62" xfId="0" applyNumberFormat="1" applyFill="1" applyBorder="1" applyAlignment="1">
      <alignment vertical="center" wrapText="1"/>
    </xf>
    <xf numFmtId="3" fontId="0" fillId="14" borderId="84" xfId="0" applyNumberFormat="1" applyFill="1" applyBorder="1" applyAlignment="1">
      <alignment vertical="center" wrapText="1"/>
    </xf>
    <xf numFmtId="3" fontId="39" fillId="0" borderId="62" xfId="0" applyNumberFormat="1" applyFont="1" applyFill="1" applyBorder="1" applyAlignment="1">
      <alignment vertical="center" wrapText="1"/>
    </xf>
    <xf numFmtId="3" fontId="0" fillId="14" borderId="97" xfId="0" applyNumberFormat="1" applyFill="1" applyBorder="1" applyAlignment="1">
      <alignment vertical="center"/>
    </xf>
    <xf numFmtId="3" fontId="0" fillId="0" borderId="86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62" xfId="0" applyNumberFormat="1" applyBorder="1" applyAlignment="1">
      <alignment vertical="center" wrapText="1"/>
    </xf>
    <xf numFmtId="3" fontId="0" fillId="0" borderId="84" xfId="0" applyNumberFormat="1" applyBorder="1" applyAlignment="1">
      <alignment vertical="center" wrapText="1"/>
    </xf>
    <xf numFmtId="3" fontId="0" fillId="0" borderId="62" xfId="0" applyNumberFormat="1" applyFont="1" applyBorder="1" applyAlignment="1">
      <alignment vertical="center" wrapText="1"/>
    </xf>
    <xf numFmtId="3" fontId="0" fillId="0" borderId="84" xfId="0" applyNumberFormat="1" applyFont="1" applyBorder="1" applyAlignment="1">
      <alignment vertical="center" wrapText="1"/>
    </xf>
    <xf numFmtId="0" fontId="39" fillId="14" borderId="62" xfId="0" applyFont="1" applyFill="1" applyBorder="1" applyAlignment="1">
      <alignment vertical="center" wrapText="1"/>
    </xf>
    <xf numFmtId="0" fontId="39" fillId="14" borderId="84" xfId="0" applyFont="1" applyFill="1" applyBorder="1" applyAlignment="1">
      <alignment vertical="center" wrapText="1"/>
    </xf>
    <xf numFmtId="3" fontId="71" fillId="12" borderId="62" xfId="0" applyNumberFormat="1" applyFont="1" applyFill="1" applyBorder="1" applyAlignment="1">
      <alignment vertical="center"/>
    </xf>
    <xf numFmtId="3" fontId="71" fillId="12" borderId="84" xfId="0" applyNumberFormat="1" applyFont="1" applyFill="1" applyBorder="1" applyAlignment="1">
      <alignment vertical="center"/>
    </xf>
    <xf numFmtId="0" fontId="71" fillId="14" borderId="97" xfId="0" applyFont="1" applyFill="1" applyBorder="1" applyAlignment="1">
      <alignment vertical="center" wrapText="1"/>
    </xf>
    <xf numFmtId="0" fontId="71" fillId="14" borderId="93" xfId="0" applyFont="1" applyFill="1" applyBorder="1" applyAlignment="1">
      <alignment vertical="center" wrapText="1"/>
    </xf>
    <xf numFmtId="0" fontId="71" fillId="14" borderId="102" xfId="0" applyFont="1" applyFill="1" applyBorder="1" applyAlignment="1">
      <alignment vertical="center" wrapText="1"/>
    </xf>
    <xf numFmtId="3" fontId="39" fillId="14" borderId="62" xfId="0" applyNumberFormat="1" applyFont="1" applyFill="1" applyBorder="1" applyAlignment="1">
      <alignment vertical="center"/>
    </xf>
    <xf numFmtId="3" fontId="71" fillId="14" borderId="97" xfId="0" applyNumberFormat="1" applyFont="1" applyFill="1" applyBorder="1" applyAlignment="1">
      <alignment vertical="center"/>
    </xf>
    <xf numFmtId="3" fontId="71" fillId="14" borderId="86" xfId="0" applyNumberFormat="1" applyFont="1" applyFill="1" applyBorder="1" applyAlignment="1">
      <alignment vertical="center"/>
    </xf>
    <xf numFmtId="3" fontId="71" fillId="14" borderId="94" xfId="0" applyNumberFormat="1" applyFont="1" applyFill="1" applyBorder="1" applyAlignment="1">
      <alignment vertical="center"/>
    </xf>
    <xf numFmtId="3" fontId="0" fillId="14" borderId="67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0" fontId="39" fillId="14" borderId="30" xfId="0" applyFont="1" applyFill="1" applyBorder="1" applyAlignment="1">
      <alignment vertical="center" wrapText="1"/>
    </xf>
    <xf numFmtId="0" fontId="39" fillId="14" borderId="64" xfId="0" applyFont="1" applyFill="1" applyBorder="1" applyAlignment="1">
      <alignment vertical="center" wrapText="1"/>
    </xf>
    <xf numFmtId="0" fontId="39" fillId="14" borderId="105" xfId="0" applyFont="1" applyFill="1" applyBorder="1" applyAlignment="1">
      <alignment vertical="center" wrapText="1"/>
    </xf>
    <xf numFmtId="3" fontId="0" fillId="14" borderId="6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65" xfId="0" applyNumberFormat="1" applyFill="1" applyBorder="1" applyAlignment="1">
      <alignment vertical="center"/>
    </xf>
    <xf numFmtId="0" fontId="0" fillId="0" borderId="28" xfId="0" applyBorder="1" applyAlignment="1">
      <alignment vertical="center" wrapText="1"/>
    </xf>
    <xf numFmtId="3" fontId="0" fillId="0" borderId="95" xfId="0" applyNumberFormat="1" applyBorder="1" applyAlignment="1">
      <alignment vertical="center" wrapText="1"/>
    </xf>
    <xf numFmtId="3" fontId="0" fillId="0" borderId="59" xfId="0" applyNumberFormat="1" applyBorder="1" applyAlignment="1">
      <alignment vertical="center" wrapText="1"/>
    </xf>
    <xf numFmtId="3" fontId="0" fillId="0" borderId="101" xfId="0" applyNumberFormat="1" applyBorder="1" applyAlignment="1">
      <alignment vertical="center" wrapText="1"/>
    </xf>
    <xf numFmtId="3" fontId="0" fillId="14" borderId="95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3" fontId="0" fillId="0" borderId="104" xfId="0" applyNumberFormat="1" applyBorder="1" applyAlignment="1">
      <alignment vertical="center"/>
    </xf>
    <xf numFmtId="3" fontId="0" fillId="0" borderId="106" xfId="0" applyNumberFormat="1" applyBorder="1" applyAlignment="1">
      <alignment vertical="center"/>
    </xf>
    <xf numFmtId="3" fontId="0" fillId="0" borderId="108" xfId="0" applyNumberFormat="1" applyBorder="1" applyAlignment="1">
      <alignment vertical="center"/>
    </xf>
    <xf numFmtId="3" fontId="0" fillId="0" borderId="107" xfId="0" applyNumberFormat="1" applyBorder="1" applyAlignment="1">
      <alignment vertical="center"/>
    </xf>
    <xf numFmtId="3" fontId="0" fillId="0" borderId="109" xfId="0" applyNumberFormat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3" fontId="0" fillId="0" borderId="95" xfId="0" applyNumberFormat="1" applyFill="1" applyBorder="1" applyAlignment="1">
      <alignment vertical="center" wrapText="1"/>
    </xf>
    <xf numFmtId="3" fontId="0" fillId="0" borderId="59" xfId="0" applyNumberFormat="1" applyFill="1" applyBorder="1" applyAlignment="1">
      <alignment vertical="center" wrapText="1"/>
    </xf>
    <xf numFmtId="3" fontId="0" fillId="0" borderId="101" xfId="0" applyNumberFormat="1" applyFill="1" applyBorder="1" applyAlignment="1">
      <alignment vertical="center" wrapText="1"/>
    </xf>
    <xf numFmtId="3" fontId="0" fillId="0" borderId="95" xfId="0" applyNumberFormat="1" applyFill="1" applyBorder="1" applyAlignment="1">
      <alignment vertical="center"/>
    </xf>
    <xf numFmtId="3" fontId="0" fillId="0" borderId="96" xfId="0" applyNumberFormat="1" applyFill="1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9" fillId="0" borderId="3" xfId="0" applyFont="1" applyFill="1" applyBorder="1" applyAlignment="1">
      <alignment vertical="center"/>
    </xf>
    <xf numFmtId="0" fontId="39" fillId="14" borderId="27" xfId="0" applyFont="1" applyFill="1" applyBorder="1" applyAlignment="1">
      <alignment vertical="center"/>
    </xf>
    <xf numFmtId="0" fontId="18" fillId="0" borderId="111" xfId="0" applyFont="1" applyBorder="1" applyAlignment="1">
      <alignment vertical="center"/>
    </xf>
    <xf numFmtId="0" fontId="0" fillId="0" borderId="113" xfId="0" applyFill="1" applyBorder="1" applyAlignment="1">
      <alignment horizontal="center" vertical="center"/>
    </xf>
    <xf numFmtId="0" fontId="0" fillId="14" borderId="113" xfId="0" applyFill="1" applyBorder="1" applyAlignment="1">
      <alignment horizontal="center" vertical="center"/>
    </xf>
    <xf numFmtId="0" fontId="0" fillId="14" borderId="114" xfId="0" applyFill="1" applyBorder="1" applyAlignment="1">
      <alignment horizontal="center" vertical="center"/>
    </xf>
    <xf numFmtId="0" fontId="39" fillId="0" borderId="3" xfId="0" applyFont="1" applyBorder="1" applyAlignment="1">
      <alignment vertical="center"/>
    </xf>
    <xf numFmtId="0" fontId="39" fillId="14" borderId="3" xfId="0" applyFont="1" applyFill="1" applyBorder="1" applyAlignment="1">
      <alignment vertical="center"/>
    </xf>
    <xf numFmtId="0" fontId="18" fillId="0" borderId="103" xfId="0" applyFont="1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71" fillId="0" borderId="27" xfId="0" applyFont="1" applyBorder="1" applyAlignment="1">
      <alignment vertical="center"/>
    </xf>
    <xf numFmtId="0" fontId="71" fillId="12" borderId="30" xfId="0" applyFont="1" applyFill="1" applyBorder="1" applyAlignment="1">
      <alignment vertical="center" wrapText="1"/>
    </xf>
    <xf numFmtId="0" fontId="71" fillId="14" borderId="104" xfId="0" applyFont="1" applyFill="1" applyBorder="1" applyAlignment="1">
      <alignment vertical="center"/>
    </xf>
    <xf numFmtId="0" fontId="71" fillId="14" borderId="108" xfId="0" applyFont="1" applyFill="1" applyBorder="1" applyAlignment="1">
      <alignment vertical="center" wrapText="1"/>
    </xf>
    <xf numFmtId="3" fontId="0" fillId="0" borderId="68" xfId="0" applyNumberFormat="1" applyFill="1" applyBorder="1" applyAlignment="1">
      <alignment vertical="center"/>
    </xf>
    <xf numFmtId="0" fontId="22" fillId="12" borderId="16" xfId="6" applyFont="1" applyFill="1" applyBorder="1" applyAlignment="1">
      <alignment horizontal="center" vertical="center"/>
    </xf>
    <xf numFmtId="0" fontId="22" fillId="12" borderId="16" xfId="6" applyFont="1" applyFill="1" applyBorder="1" applyAlignment="1">
      <alignment horizontal="center" vertical="center" wrapText="1"/>
    </xf>
    <xf numFmtId="0" fontId="22" fillId="12" borderId="0" xfId="6" applyFont="1" applyFill="1" applyBorder="1" applyAlignment="1">
      <alignment horizontal="center" vertical="center" wrapText="1"/>
    </xf>
    <xf numFmtId="0" fontId="20" fillId="12" borderId="16" xfId="6" applyFont="1" applyFill="1" applyBorder="1" applyAlignment="1">
      <alignment horizontal="center" vertical="center" textRotation="90" wrapText="1"/>
    </xf>
    <xf numFmtId="0" fontId="13" fillId="12" borderId="0" xfId="6" applyFont="1" applyFill="1" applyAlignment="1">
      <alignment horizontal="center" vertical="center"/>
    </xf>
    <xf numFmtId="0" fontId="9" fillId="12" borderId="0" xfId="6" applyFont="1" applyFill="1" applyAlignment="1">
      <alignment horizontal="center" vertical="center"/>
    </xf>
    <xf numFmtId="0" fontId="20" fillId="12" borderId="0" xfId="6" applyFont="1" applyFill="1" applyBorder="1" applyAlignment="1">
      <alignment horizontal="center" vertical="center" wrapText="1"/>
    </xf>
    <xf numFmtId="0" fontId="66" fillId="12" borderId="16" xfId="0" applyFont="1" applyFill="1" applyBorder="1" applyAlignment="1">
      <alignment horizontal="center" vertical="center"/>
    </xf>
    <xf numFmtId="0" fontId="22" fillId="12" borderId="3" xfId="0" applyFont="1" applyFill="1" applyBorder="1" applyAlignment="1">
      <alignment horizontal="left" vertical="center" wrapText="1"/>
    </xf>
    <xf numFmtId="0" fontId="69" fillId="12" borderId="4" xfId="0" applyFont="1" applyFill="1" applyBorder="1" applyAlignment="1">
      <alignment wrapText="1"/>
    </xf>
    <xf numFmtId="4" fontId="69" fillId="12" borderId="0" xfId="0" applyNumberFormat="1" applyFont="1" applyFill="1" applyBorder="1" applyAlignment="1">
      <alignment horizontal="center"/>
    </xf>
    <xf numFmtId="0" fontId="69" fillId="12" borderId="89" xfId="0" applyFont="1" applyFill="1" applyBorder="1" applyAlignment="1">
      <alignment wrapText="1"/>
    </xf>
    <xf numFmtId="3" fontId="16" fillId="12" borderId="90" xfId="0" applyNumberFormat="1" applyFont="1" applyFill="1" applyBorder="1"/>
    <xf numFmtId="3" fontId="16" fillId="12" borderId="91" xfId="0" applyNumberFormat="1" applyFont="1" applyFill="1" applyBorder="1"/>
    <xf numFmtId="3" fontId="16" fillId="12" borderId="92" xfId="0" applyNumberFormat="1" applyFont="1" applyFill="1" applyBorder="1"/>
    <xf numFmtId="3" fontId="69" fillId="12" borderId="92" xfId="0" applyNumberFormat="1" applyFont="1" applyFill="1" applyBorder="1"/>
    <xf numFmtId="0" fontId="16" fillId="12" borderId="0" xfId="0" applyFont="1" applyFill="1" applyBorder="1" applyAlignment="1">
      <alignment vertical="center"/>
    </xf>
    <xf numFmtId="0" fontId="69" fillId="12" borderId="10" xfId="0" applyFont="1" applyFill="1" applyBorder="1" applyAlignment="1">
      <alignment vertical="center" wrapText="1"/>
    </xf>
    <xf numFmtId="3" fontId="69" fillId="12" borderId="11" xfId="0" applyNumberFormat="1" applyFont="1" applyFill="1" applyBorder="1" applyAlignment="1">
      <alignment vertical="center"/>
    </xf>
    <xf numFmtId="3" fontId="16" fillId="12" borderId="11" xfId="0" applyNumberFormat="1" applyFont="1" applyFill="1" applyBorder="1" applyAlignment="1">
      <alignment vertical="center"/>
    </xf>
    <xf numFmtId="3" fontId="16" fillId="12" borderId="48" xfId="0" applyNumberFormat="1" applyFont="1" applyFill="1" applyBorder="1" applyAlignment="1">
      <alignment vertical="center"/>
    </xf>
    <xf numFmtId="3" fontId="69" fillId="12" borderId="12" xfId="0" applyNumberFormat="1" applyFont="1" applyFill="1" applyBorder="1" applyAlignment="1">
      <alignment vertical="center"/>
    </xf>
    <xf numFmtId="4" fontId="16" fillId="12" borderId="0" xfId="0" applyNumberFormat="1" applyFont="1" applyFill="1" applyBorder="1" applyAlignment="1">
      <alignment vertical="center"/>
    </xf>
    <xf numFmtId="3" fontId="16" fillId="12" borderId="0" xfId="0" applyNumberFormat="1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16" fillId="12" borderId="13" xfId="0" applyFont="1" applyFill="1" applyBorder="1" applyAlignment="1">
      <alignment wrapText="1"/>
    </xf>
    <xf numFmtId="0" fontId="69" fillId="12" borderId="13" xfId="0" applyFont="1" applyFill="1" applyBorder="1"/>
    <xf numFmtId="3" fontId="69" fillId="12" borderId="49" xfId="0" applyNumberFormat="1" applyFont="1" applyFill="1" applyBorder="1"/>
    <xf numFmtId="3" fontId="69" fillId="12" borderId="26" xfId="0" applyNumberFormat="1" applyFont="1" applyFill="1" applyBorder="1"/>
    <xf numFmtId="0" fontId="16" fillId="12" borderId="7" xfId="0" applyFont="1" applyFill="1" applyBorder="1" applyAlignment="1">
      <alignment wrapText="1"/>
    </xf>
    <xf numFmtId="0" fontId="98" fillId="12" borderId="0" xfId="0" applyFont="1" applyFill="1" applyBorder="1"/>
    <xf numFmtId="0" fontId="99" fillId="12" borderId="0" xfId="0" applyFont="1" applyFill="1" applyBorder="1"/>
    <xf numFmtId="0" fontId="100" fillId="12" borderId="0" xfId="0" applyFont="1" applyFill="1" applyBorder="1"/>
    <xf numFmtId="3" fontId="100" fillId="12" borderId="0" xfId="0" applyNumberFormat="1" applyFont="1" applyFill="1" applyBorder="1"/>
    <xf numFmtId="172" fontId="100" fillId="12" borderId="0" xfId="26" applyNumberFormat="1" applyFont="1" applyFill="1" applyBorder="1"/>
    <xf numFmtId="3" fontId="98" fillId="12" borderId="0" xfId="0" applyNumberFormat="1" applyFont="1" applyFill="1" applyBorder="1"/>
    <xf numFmtId="0" fontId="98" fillId="12" borderId="0" xfId="0" applyFont="1" applyFill="1" applyBorder="1" applyAlignment="1">
      <alignment vertical="center"/>
    </xf>
    <xf numFmtId="3" fontId="101" fillId="12" borderId="0" xfId="0" applyNumberFormat="1" applyFont="1" applyFill="1" applyBorder="1"/>
    <xf numFmtId="0" fontId="101" fillId="12" borderId="0" xfId="0" applyFont="1" applyFill="1" applyBorder="1"/>
    <xf numFmtId="4" fontId="102" fillId="12" borderId="0" xfId="0" applyNumberFormat="1" applyFont="1" applyFill="1" applyBorder="1"/>
    <xf numFmtId="0" fontId="102" fillId="12" borderId="0" xfId="0" applyFont="1" applyFill="1" applyBorder="1"/>
    <xf numFmtId="3" fontId="102" fillId="12" borderId="0" xfId="0" applyNumberFormat="1" applyFont="1" applyFill="1" applyBorder="1"/>
    <xf numFmtId="0" fontId="103" fillId="0" borderId="0" xfId="33" applyFont="1" applyAlignment="1">
      <alignment horizontal="left" vertical="center"/>
    </xf>
    <xf numFmtId="0" fontId="1" fillId="0" borderId="0" xfId="33" applyAlignment="1">
      <alignment horizontal="left" vertical="center"/>
    </xf>
    <xf numFmtId="0" fontId="1" fillId="0" borderId="70" xfId="33" applyBorder="1" applyAlignment="1">
      <alignment horizontal="left" vertical="center"/>
    </xf>
    <xf numFmtId="0" fontId="103" fillId="0" borderId="71" xfId="33" applyFont="1" applyBorder="1" applyAlignment="1">
      <alignment horizontal="center" vertical="center"/>
    </xf>
    <xf numFmtId="0" fontId="103" fillId="0" borderId="71" xfId="33" applyFont="1" applyBorder="1" applyAlignment="1">
      <alignment horizontal="center" vertical="center" wrapText="1"/>
    </xf>
    <xf numFmtId="0" fontId="1" fillId="0" borderId="71" xfId="33" applyBorder="1" applyAlignment="1">
      <alignment horizontal="left" vertical="center" wrapText="1"/>
    </xf>
    <xf numFmtId="0" fontId="1" fillId="0" borderId="71" xfId="33" applyBorder="1" applyAlignment="1">
      <alignment horizontal="center" vertical="center"/>
    </xf>
    <xf numFmtId="3" fontId="1" fillId="0" borderId="71" xfId="33" applyNumberFormat="1" applyBorder="1" applyAlignment="1">
      <alignment horizontal="right" vertical="center"/>
    </xf>
    <xf numFmtId="3" fontId="1" fillId="17" borderId="71" xfId="33" applyNumberFormat="1" applyFill="1" applyBorder="1" applyAlignment="1">
      <alignment horizontal="right" vertical="center"/>
    </xf>
    <xf numFmtId="0" fontId="103" fillId="0" borderId="72" xfId="33" applyFont="1" applyBorder="1" applyAlignment="1">
      <alignment horizontal="left" vertical="center"/>
    </xf>
    <xf numFmtId="0" fontId="103" fillId="0" borderId="72" xfId="33" applyFont="1" applyBorder="1" applyAlignment="1">
      <alignment horizontal="center" vertical="center"/>
    </xf>
    <xf numFmtId="3" fontId="103" fillId="0" borderId="72" xfId="33" applyNumberFormat="1" applyFont="1" applyBorder="1" applyAlignment="1">
      <alignment horizontal="right" vertical="center"/>
    </xf>
    <xf numFmtId="0" fontId="1" fillId="0" borderId="0" xfId="33" applyBorder="1" applyAlignment="1">
      <alignment horizontal="left" vertical="center" wrapText="1"/>
    </xf>
    <xf numFmtId="0" fontId="1" fillId="0" borderId="0" xfId="33" applyBorder="1" applyAlignment="1">
      <alignment horizontal="center" vertical="center"/>
    </xf>
    <xf numFmtId="0" fontId="1" fillId="0" borderId="0" xfId="33" applyBorder="1" applyAlignment="1">
      <alignment horizontal="left" vertical="center"/>
    </xf>
    <xf numFmtId="3" fontId="1" fillId="0" borderId="0" xfId="33" applyNumberFormat="1" applyBorder="1" applyAlignment="1">
      <alignment horizontal="right" vertical="center"/>
    </xf>
    <xf numFmtId="0" fontId="1" fillId="0" borderId="0" xfId="33" applyFont="1" applyBorder="1" applyAlignment="1">
      <alignment horizontal="center" vertical="center"/>
    </xf>
    <xf numFmtId="3" fontId="103" fillId="0" borderId="0" xfId="33" applyNumberFormat="1" applyFont="1" applyBorder="1" applyAlignment="1">
      <alignment horizontal="right" vertical="center"/>
    </xf>
    <xf numFmtId="3" fontId="1" fillId="0" borderId="0" xfId="33" applyNumberFormat="1" applyFont="1" applyBorder="1" applyAlignment="1">
      <alignment horizontal="right" vertical="center"/>
    </xf>
    <xf numFmtId="0" fontId="1" fillId="0" borderId="0" xfId="33" applyFont="1" applyBorder="1" applyAlignment="1">
      <alignment horizontal="left" vertical="center"/>
    </xf>
    <xf numFmtId="0" fontId="1" fillId="0" borderId="0" xfId="33" applyFont="1" applyBorder="1" applyAlignment="1">
      <alignment horizontal="left" vertical="center" wrapText="1"/>
    </xf>
    <xf numFmtId="0" fontId="103" fillId="0" borderId="0" xfId="33" applyFont="1" applyBorder="1" applyAlignment="1">
      <alignment horizontal="left" vertical="center"/>
    </xf>
    <xf numFmtId="0" fontId="103" fillId="0" borderId="0" xfId="33" applyFont="1" applyBorder="1" applyAlignment="1">
      <alignment horizontal="center" vertical="center"/>
    </xf>
    <xf numFmtId="0" fontId="1" fillId="0" borderId="0" xfId="33" applyAlignment="1">
      <alignment horizontal="center" vertical="center"/>
    </xf>
    <xf numFmtId="3" fontId="1" fillId="0" borderId="0" xfId="33" applyNumberFormat="1" applyAlignment="1">
      <alignment horizontal="right" vertical="center"/>
    </xf>
    <xf numFmtId="0" fontId="103" fillId="0" borderId="71" xfId="33" applyFont="1" applyFill="1" applyBorder="1" applyAlignment="1">
      <alignment horizontal="center" vertical="center"/>
    </xf>
    <xf numFmtId="0" fontId="103" fillId="0" borderId="71" xfId="33" applyFont="1" applyFill="1" applyBorder="1" applyAlignment="1">
      <alignment horizontal="center" vertical="center" wrapText="1"/>
    </xf>
    <xf numFmtId="0" fontId="1" fillId="0" borderId="71" xfId="33" applyFill="1" applyBorder="1" applyAlignment="1">
      <alignment horizontal="center" vertical="center"/>
    </xf>
    <xf numFmtId="3" fontId="1" fillId="0" borderId="71" xfId="33" applyNumberFormat="1" applyFill="1" applyBorder="1" applyAlignment="1">
      <alignment horizontal="right" vertical="center"/>
    </xf>
    <xf numFmtId="0" fontId="1" fillId="0" borderId="71" xfId="33" applyFill="1" applyBorder="1" applyAlignment="1">
      <alignment horizontal="left" vertical="center" wrapText="1"/>
    </xf>
    <xf numFmtId="0" fontId="22" fillId="12" borderId="16" xfId="6" applyFont="1" applyFill="1" applyBorder="1" applyAlignment="1">
      <alignment horizontal="center" vertical="center"/>
    </xf>
    <xf numFmtId="0" fontId="22" fillId="12" borderId="2" xfId="6" applyFont="1" applyFill="1" applyBorder="1" applyAlignment="1">
      <alignment horizontal="left" vertical="center"/>
    </xf>
    <xf numFmtId="0" fontId="22" fillId="12" borderId="16" xfId="6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vertical="center" wrapText="1"/>
    </xf>
    <xf numFmtId="0" fontId="14" fillId="12" borderId="0" xfId="6" applyFont="1" applyFill="1" applyAlignment="1">
      <alignment vertical="center"/>
    </xf>
    <xf numFmtId="3" fontId="14" fillId="12" borderId="0" xfId="6" applyNumberFormat="1" applyFont="1" applyFill="1" applyAlignment="1">
      <alignment vertical="center"/>
    </xf>
    <xf numFmtId="3" fontId="45" fillId="0" borderId="0" xfId="6" applyNumberFormat="1" applyFont="1" applyFill="1" applyAlignment="1">
      <alignment horizontal="right" vertical="center"/>
    </xf>
    <xf numFmtId="3" fontId="14" fillId="0" borderId="0" xfId="6" applyNumberFormat="1" applyFont="1" applyFill="1" applyAlignment="1">
      <alignment vertical="center"/>
    </xf>
    <xf numFmtId="0" fontId="14" fillId="0" borderId="0" xfId="6" applyFont="1" applyFill="1" applyAlignment="1">
      <alignment vertical="center"/>
    </xf>
    <xf numFmtId="0" fontId="22" fillId="12" borderId="27" xfId="6" applyFont="1" applyFill="1" applyBorder="1" applyAlignment="1">
      <alignment vertical="center"/>
    </xf>
    <xf numFmtId="1" fontId="22" fillId="12" borderId="15" xfId="6" applyNumberFormat="1" applyFont="1" applyFill="1" applyBorder="1" applyAlignment="1">
      <alignment vertical="center"/>
    </xf>
    <xf numFmtId="3" fontId="45" fillId="12" borderId="0" xfId="6" applyNumberFormat="1" applyFont="1" applyFill="1" applyAlignment="1">
      <alignment horizontal="right" vertical="center"/>
    </xf>
    <xf numFmtId="0" fontId="13" fillId="12" borderId="0" xfId="6" applyFont="1" applyFill="1" applyBorder="1" applyAlignment="1"/>
    <xf numFmtId="3" fontId="13" fillId="12" borderId="0" xfId="6" applyNumberFormat="1" applyFont="1" applyFill="1" applyBorder="1" applyAlignment="1">
      <alignment horizontal="right" vertical="center"/>
    </xf>
    <xf numFmtId="0" fontId="22" fillId="12" borderId="0" xfId="6" applyFont="1" applyFill="1" applyBorder="1" applyAlignment="1">
      <alignment horizontal="right" vertical="center"/>
    </xf>
    <xf numFmtId="3" fontId="14" fillId="12" borderId="0" xfId="6" applyNumberFormat="1" applyFont="1" applyFill="1" applyBorder="1" applyAlignment="1">
      <alignment horizontal="right" vertical="center"/>
    </xf>
    <xf numFmtId="0" fontId="14" fillId="12" borderId="0" xfId="6" applyFont="1" applyFill="1" applyBorder="1" applyAlignment="1">
      <alignment vertical="center"/>
    </xf>
    <xf numFmtId="0" fontId="23" fillId="12" borderId="2" xfId="0" applyFont="1" applyFill="1" applyBorder="1" applyAlignment="1">
      <alignment horizontal="left" vertical="center"/>
    </xf>
    <xf numFmtId="3" fontId="23" fillId="12" borderId="16" xfId="7" applyNumberFormat="1" applyFont="1" applyFill="1" applyBorder="1" applyAlignment="1">
      <alignment horizontal="center" vertical="center"/>
    </xf>
    <xf numFmtId="0" fontId="23" fillId="12" borderId="2" xfId="6" applyFont="1" applyFill="1" applyBorder="1" applyAlignment="1">
      <alignment horizontal="left" vertical="center"/>
    </xf>
    <xf numFmtId="0" fontId="20" fillId="12" borderId="2" xfId="6" applyFont="1" applyFill="1" applyBorder="1" applyAlignment="1">
      <alignment vertical="center"/>
    </xf>
    <xf numFmtId="3" fontId="23" fillId="12" borderId="2" xfId="6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3" fontId="8" fillId="12" borderId="0" xfId="6" applyNumberFormat="1" applyFont="1" applyFill="1" applyBorder="1" applyAlignment="1">
      <alignment horizontal="center" vertical="center"/>
    </xf>
    <xf numFmtId="0" fontId="8" fillId="12" borderId="0" xfId="6" applyFont="1" applyFill="1" applyBorder="1" applyAlignment="1">
      <alignment horizontal="center" vertical="center"/>
    </xf>
    <xf numFmtId="0" fontId="9" fillId="12" borderId="18" xfId="6" applyFont="1" applyFill="1" applyBorder="1" applyAlignment="1">
      <alignment horizontal="center" vertical="center"/>
    </xf>
    <xf numFmtId="0" fontId="23" fillId="12" borderId="16" xfId="6" applyFont="1" applyFill="1" applyBorder="1" applyAlignment="1">
      <alignment horizontal="right" vertical="center" wrapText="1"/>
    </xf>
    <xf numFmtId="3" fontId="13" fillId="12" borderId="0" xfId="6" applyNumberFormat="1" applyFont="1" applyFill="1" applyBorder="1" applyAlignment="1">
      <alignment horizontal="center" vertical="center"/>
    </xf>
    <xf numFmtId="0" fontId="13" fillId="12" borderId="0" xfId="6" applyFont="1" applyFill="1" applyBorder="1" applyAlignment="1">
      <alignment horizontal="center" vertical="center"/>
    </xf>
    <xf numFmtId="0" fontId="23" fillId="12" borderId="1" xfId="6" applyFont="1" applyFill="1" applyBorder="1" applyAlignment="1">
      <alignment horizontal="left" vertical="center"/>
    </xf>
    <xf numFmtId="0" fontId="23" fillId="12" borderId="2" xfId="6" applyFont="1" applyFill="1" applyBorder="1" applyAlignment="1">
      <alignment horizontal="left" vertical="center"/>
    </xf>
    <xf numFmtId="0" fontId="23" fillId="12" borderId="1" xfId="6" applyFont="1" applyFill="1" applyBorder="1" applyAlignment="1">
      <alignment horizontal="left" vertical="center" wrapText="1"/>
    </xf>
    <xf numFmtId="0" fontId="23" fillId="12" borderId="2" xfId="6" applyFont="1" applyFill="1" applyBorder="1" applyAlignment="1">
      <alignment horizontal="left" vertical="center" wrapText="1"/>
    </xf>
    <xf numFmtId="0" fontId="23" fillId="12" borderId="3" xfId="6" applyFont="1" applyFill="1" applyBorder="1" applyAlignment="1">
      <alignment horizontal="left" vertical="center" wrapText="1"/>
    </xf>
    <xf numFmtId="0" fontId="22" fillId="12" borderId="0" xfId="6" applyFont="1" applyFill="1" applyBorder="1" applyAlignment="1">
      <alignment horizontal="left" vertical="center"/>
    </xf>
    <xf numFmtId="0" fontId="20" fillId="12" borderId="0" xfId="6" applyFont="1" applyFill="1" applyBorder="1" applyAlignment="1">
      <alignment horizontal="right" vertical="center"/>
    </xf>
    <xf numFmtId="0" fontId="23" fillId="12" borderId="45" xfId="6" applyFont="1" applyFill="1" applyBorder="1" applyAlignment="1">
      <alignment horizontal="left" vertical="center" wrapText="1"/>
    </xf>
    <xf numFmtId="0" fontId="22" fillId="12" borderId="16" xfId="6" applyFont="1" applyFill="1" applyBorder="1" applyAlignment="1">
      <alignment horizontal="center" vertical="center" textRotation="90" wrapText="1"/>
    </xf>
    <xf numFmtId="0" fontId="22" fillId="12" borderId="16" xfId="6" applyFont="1" applyFill="1" applyBorder="1" applyAlignment="1">
      <alignment horizontal="center" vertical="center"/>
    </xf>
    <xf numFmtId="0" fontId="22" fillId="12" borderId="16" xfId="6" applyFont="1" applyFill="1" applyBorder="1" applyAlignment="1">
      <alignment horizontal="center" vertical="center" wrapText="1"/>
    </xf>
    <xf numFmtId="49" fontId="22" fillId="12" borderId="1" xfId="6" applyNumberFormat="1" applyFont="1" applyFill="1" applyBorder="1" applyAlignment="1">
      <alignment horizontal="right" vertical="center"/>
    </xf>
    <xf numFmtId="49" fontId="22" fillId="12" borderId="2" xfId="6" applyNumberFormat="1" applyFont="1" applyFill="1" applyBorder="1" applyAlignment="1">
      <alignment horizontal="right" vertical="center"/>
    </xf>
    <xf numFmtId="49" fontId="22" fillId="12" borderId="3" xfId="6" applyNumberFormat="1" applyFont="1" applyFill="1" applyBorder="1" applyAlignment="1">
      <alignment horizontal="right" vertical="center"/>
    </xf>
    <xf numFmtId="0" fontId="22" fillId="12" borderId="15" xfId="6" applyFont="1" applyFill="1" applyBorder="1" applyAlignment="1">
      <alignment horizontal="center" vertical="center" wrapText="1"/>
    </xf>
    <xf numFmtId="0" fontId="22" fillId="12" borderId="17" xfId="6" applyFont="1" applyFill="1" applyBorder="1" applyAlignment="1">
      <alignment horizontal="center" vertical="center"/>
    </xf>
    <xf numFmtId="0" fontId="22" fillId="12" borderId="30" xfId="6" applyFont="1" applyFill="1" applyBorder="1" applyAlignment="1">
      <alignment horizontal="center" vertical="center"/>
    </xf>
    <xf numFmtId="0" fontId="22" fillId="12" borderId="18" xfId="6" applyFont="1" applyFill="1" applyBorder="1" applyAlignment="1">
      <alignment horizontal="center" vertical="center"/>
    </xf>
    <xf numFmtId="0" fontId="22" fillId="12" borderId="27" xfId="6" applyFont="1" applyFill="1" applyBorder="1" applyAlignment="1">
      <alignment horizontal="center" vertical="center"/>
    </xf>
    <xf numFmtId="0" fontId="22" fillId="12" borderId="17" xfId="6" applyFont="1" applyFill="1" applyBorder="1" applyAlignment="1">
      <alignment horizontal="center" vertical="center" wrapText="1"/>
    </xf>
    <xf numFmtId="0" fontId="22" fillId="12" borderId="1" xfId="6" applyFont="1" applyFill="1" applyBorder="1" applyAlignment="1">
      <alignment horizontal="center" vertical="center"/>
    </xf>
    <xf numFmtId="0" fontId="22" fillId="12" borderId="2" xfId="6" applyFont="1" applyFill="1" applyBorder="1" applyAlignment="1">
      <alignment horizontal="center" vertical="center"/>
    </xf>
    <xf numFmtId="0" fontId="22" fillId="12" borderId="3" xfId="6" applyFont="1" applyFill="1" applyBorder="1" applyAlignment="1">
      <alignment horizontal="center" vertical="center"/>
    </xf>
    <xf numFmtId="0" fontId="23" fillId="12" borderId="1" xfId="7" applyFont="1" applyFill="1" applyBorder="1" applyAlignment="1">
      <alignment horizontal="right" vertical="center" wrapText="1"/>
    </xf>
    <xf numFmtId="0" fontId="23" fillId="12" borderId="3" xfId="7" applyFont="1" applyFill="1" applyBorder="1" applyAlignment="1">
      <alignment horizontal="right" vertical="center" wrapText="1"/>
    </xf>
    <xf numFmtId="0" fontId="23" fillId="12" borderId="16" xfId="7" applyFont="1" applyFill="1" applyBorder="1" applyAlignment="1">
      <alignment horizontal="right" vertical="center"/>
    </xf>
    <xf numFmtId="0" fontId="23" fillId="12" borderId="1" xfId="7" applyFont="1" applyFill="1" applyBorder="1" applyAlignment="1">
      <alignment horizontal="right" vertical="center"/>
    </xf>
    <xf numFmtId="0" fontId="23" fillId="12" borderId="3" xfId="7" applyFont="1" applyFill="1" applyBorder="1" applyAlignment="1">
      <alignment horizontal="right" vertical="center"/>
    </xf>
    <xf numFmtId="0" fontId="20" fillId="12" borderId="16" xfId="6" applyFont="1" applyFill="1" applyBorder="1" applyAlignment="1">
      <alignment horizontal="center" vertical="center" textRotation="90" wrapText="1"/>
    </xf>
    <xf numFmtId="0" fontId="20" fillId="12" borderId="1" xfId="6" applyFont="1" applyFill="1" applyBorder="1" applyAlignment="1">
      <alignment horizontal="left" vertical="center"/>
    </xf>
    <xf numFmtId="0" fontId="20" fillId="12" borderId="2" xfId="6" applyFont="1" applyFill="1" applyBorder="1" applyAlignment="1">
      <alignment horizontal="left" vertical="center"/>
    </xf>
    <xf numFmtId="0" fontId="23" fillId="12" borderId="1" xfId="0" applyFont="1" applyFill="1" applyBorder="1" applyAlignment="1">
      <alignment horizontal="right" vertical="center" wrapText="1"/>
    </xf>
    <xf numFmtId="0" fontId="23" fillId="12" borderId="3" xfId="0" applyFont="1" applyFill="1" applyBorder="1" applyAlignment="1">
      <alignment horizontal="right" vertical="center" wrapText="1"/>
    </xf>
    <xf numFmtId="3" fontId="20" fillId="12" borderId="1" xfId="6" applyNumberFormat="1" applyFont="1" applyFill="1" applyBorder="1" applyAlignment="1">
      <alignment horizontal="left" vertical="center"/>
    </xf>
    <xf numFmtId="3" fontId="20" fillId="12" borderId="2" xfId="6" applyNumberFormat="1" applyFont="1" applyFill="1" applyBorder="1" applyAlignment="1">
      <alignment horizontal="left" vertical="center"/>
    </xf>
    <xf numFmtId="0" fontId="20" fillId="12" borderId="1" xfId="0" applyFont="1" applyFill="1" applyBorder="1" applyAlignment="1">
      <alignment horizontal="left" vertical="center"/>
    </xf>
    <xf numFmtId="0" fontId="20" fillId="12" borderId="2" xfId="0" applyFont="1" applyFill="1" applyBorder="1" applyAlignment="1">
      <alignment horizontal="left" vertical="center"/>
    </xf>
    <xf numFmtId="0" fontId="20" fillId="12" borderId="1" xfId="6" applyFont="1" applyFill="1" applyBorder="1" applyAlignment="1">
      <alignment horizontal="left" vertical="center" wrapText="1"/>
    </xf>
    <xf numFmtId="0" fontId="20" fillId="12" borderId="2" xfId="6" applyFont="1" applyFill="1" applyBorder="1" applyAlignment="1">
      <alignment horizontal="left" vertical="center" wrapText="1"/>
    </xf>
    <xf numFmtId="0" fontId="20" fillId="12" borderId="3" xfId="6" applyFont="1" applyFill="1" applyBorder="1" applyAlignment="1">
      <alignment horizontal="left" vertical="center" wrapText="1"/>
    </xf>
    <xf numFmtId="0" fontId="77" fillId="12" borderId="0" xfId="6" applyFont="1" applyFill="1" applyAlignment="1">
      <alignment horizontal="center" vertical="center"/>
    </xf>
    <xf numFmtId="3" fontId="24" fillId="12" borderId="0" xfId="6" applyNumberFormat="1" applyFont="1" applyFill="1" applyAlignment="1">
      <alignment horizontal="center" vertical="center"/>
    </xf>
    <xf numFmtId="0" fontId="24" fillId="12" borderId="0" xfId="6" applyFont="1" applyFill="1" applyAlignment="1">
      <alignment horizontal="center" vertical="center"/>
    </xf>
    <xf numFmtId="3" fontId="32" fillId="12" borderId="0" xfId="6" applyNumberFormat="1" applyFont="1" applyFill="1" applyAlignment="1">
      <alignment horizontal="center" vertical="center"/>
    </xf>
    <xf numFmtId="0" fontId="32" fillId="12" borderId="0" xfId="6" applyFont="1" applyFill="1" applyAlignment="1">
      <alignment horizontal="center" vertical="center"/>
    </xf>
    <xf numFmtId="3" fontId="13" fillId="12" borderId="0" xfId="6" applyNumberFormat="1" applyFont="1" applyFill="1" applyAlignment="1">
      <alignment horizontal="center" vertical="center"/>
    </xf>
    <xf numFmtId="0" fontId="13" fillId="12" borderId="0" xfId="6" applyFont="1" applyFill="1" applyAlignment="1">
      <alignment horizontal="center" vertical="center"/>
    </xf>
    <xf numFmtId="3" fontId="9" fillId="12" borderId="0" xfId="6" applyNumberFormat="1" applyFont="1" applyFill="1" applyAlignment="1">
      <alignment horizontal="center" vertical="center"/>
    </xf>
    <xf numFmtId="0" fontId="9" fillId="12" borderId="0" xfId="6" applyFont="1" applyFill="1" applyAlignment="1">
      <alignment horizontal="center" vertical="center"/>
    </xf>
    <xf numFmtId="0" fontId="20" fillId="12" borderId="16" xfId="6" applyFont="1" applyFill="1" applyBorder="1" applyAlignment="1">
      <alignment horizontal="center" vertical="center" wrapText="1"/>
    </xf>
    <xf numFmtId="0" fontId="20" fillId="12" borderId="0" xfId="6" applyFont="1" applyFill="1" applyBorder="1" applyAlignment="1">
      <alignment horizontal="left" vertical="center" wrapText="1"/>
    </xf>
    <xf numFmtId="0" fontId="20" fillId="12" borderId="16" xfId="6" applyFont="1" applyFill="1" applyBorder="1" applyAlignment="1">
      <alignment horizontal="center" vertical="center"/>
    </xf>
    <xf numFmtId="0" fontId="23" fillId="12" borderId="1" xfId="6" applyFont="1" applyFill="1" applyBorder="1" applyAlignment="1">
      <alignment horizontal="center" vertical="center"/>
    </xf>
    <xf numFmtId="0" fontId="23" fillId="12" borderId="2" xfId="6" applyFont="1" applyFill="1" applyBorder="1" applyAlignment="1">
      <alignment horizontal="center" vertical="center"/>
    </xf>
    <xf numFmtId="0" fontId="23" fillId="12" borderId="3" xfId="6" applyFont="1" applyFill="1" applyBorder="1" applyAlignment="1">
      <alignment horizontal="center" vertical="center"/>
    </xf>
    <xf numFmtId="0" fontId="23" fillId="12" borderId="15" xfId="6" applyFont="1" applyFill="1" applyBorder="1" applyAlignment="1">
      <alignment horizontal="center" vertical="center" wrapText="1"/>
    </xf>
    <xf numFmtId="0" fontId="23" fillId="12" borderId="17" xfId="6" applyFont="1" applyFill="1" applyBorder="1" applyAlignment="1">
      <alignment horizontal="center" vertical="center" wrapText="1"/>
    </xf>
    <xf numFmtId="0" fontId="23" fillId="12" borderId="16" xfId="6" applyFont="1" applyFill="1" applyBorder="1" applyAlignment="1">
      <alignment horizontal="center" vertical="center"/>
    </xf>
    <xf numFmtId="49" fontId="23" fillId="12" borderId="1" xfId="0" applyNumberFormat="1" applyFont="1" applyFill="1" applyBorder="1" applyAlignment="1">
      <alignment horizontal="right" vertical="center"/>
    </xf>
    <xf numFmtId="49" fontId="23" fillId="12" borderId="2" xfId="0" applyNumberFormat="1" applyFont="1" applyFill="1" applyBorder="1" applyAlignment="1">
      <alignment horizontal="right" vertical="center"/>
    </xf>
    <xf numFmtId="49" fontId="23" fillId="12" borderId="3" xfId="0" applyNumberFormat="1" applyFont="1" applyFill="1" applyBorder="1" applyAlignment="1">
      <alignment horizontal="right" vertical="center"/>
    </xf>
    <xf numFmtId="0" fontId="22" fillId="12" borderId="0" xfId="6" applyFont="1" applyFill="1" applyBorder="1" applyAlignment="1">
      <alignment horizontal="left" vertical="center" wrapText="1"/>
    </xf>
    <xf numFmtId="0" fontId="14" fillId="13" borderId="0" xfId="6" applyFont="1" applyFill="1" applyAlignment="1">
      <alignment horizontal="center" vertical="center"/>
    </xf>
    <xf numFmtId="3" fontId="14" fillId="13" borderId="0" xfId="6" applyNumberFormat="1" applyFont="1" applyFill="1" applyAlignment="1">
      <alignment horizontal="center" vertical="center"/>
    </xf>
    <xf numFmtId="0" fontId="13" fillId="13" borderId="0" xfId="6" applyFont="1" applyFill="1" applyAlignment="1">
      <alignment horizontal="center" vertical="center"/>
    </xf>
    <xf numFmtId="3" fontId="13" fillId="13" borderId="0" xfId="6" applyNumberFormat="1" applyFont="1" applyFill="1" applyAlignment="1">
      <alignment horizontal="center" vertical="center"/>
    </xf>
    <xf numFmtId="0" fontId="39" fillId="12" borderId="0" xfId="0" applyFont="1" applyFill="1" applyAlignment="1">
      <alignment horizontal="center"/>
    </xf>
    <xf numFmtId="0" fontId="19" fillId="12" borderId="0" xfId="0" applyFont="1" applyFill="1" applyAlignment="1">
      <alignment horizontal="center"/>
    </xf>
    <xf numFmtId="3" fontId="19" fillId="12" borderId="0" xfId="0" applyNumberFormat="1" applyFont="1" applyFill="1" applyAlignment="1">
      <alignment horizontal="center"/>
    </xf>
    <xf numFmtId="3" fontId="39" fillId="12" borderId="0" xfId="0" applyNumberFormat="1" applyFont="1" applyFill="1" applyAlignment="1">
      <alignment horizontal="center"/>
    </xf>
    <xf numFmtId="0" fontId="23" fillId="12" borderId="0" xfId="0" applyFont="1" applyFill="1" applyAlignment="1">
      <alignment horizontal="center" vertical="center" wrapText="1"/>
    </xf>
    <xf numFmtId="0" fontId="23" fillId="12" borderId="0" xfId="6" applyFont="1" applyFill="1" applyBorder="1" applyAlignment="1">
      <alignment horizontal="left" vertical="center" wrapText="1"/>
    </xf>
    <xf numFmtId="0" fontId="23" fillId="12" borderId="15" xfId="0" applyFont="1" applyFill="1" applyBorder="1" applyAlignment="1">
      <alignment horizontal="center" vertical="center" wrapText="1"/>
    </xf>
    <xf numFmtId="0" fontId="23" fillId="12" borderId="17" xfId="0" applyFont="1" applyFill="1" applyBorder="1" applyAlignment="1">
      <alignment horizontal="center" vertical="center" wrapText="1"/>
    </xf>
    <xf numFmtId="0" fontId="23" fillId="12" borderId="1" xfId="6" applyFont="1" applyFill="1" applyBorder="1" applyAlignment="1">
      <alignment horizontal="right" vertical="center"/>
    </xf>
    <xf numFmtId="0" fontId="23" fillId="12" borderId="2" xfId="6" applyFont="1" applyFill="1" applyBorder="1" applyAlignment="1">
      <alignment horizontal="right" vertical="center"/>
    </xf>
    <xf numFmtId="0" fontId="23" fillId="12" borderId="3" xfId="6" applyFont="1" applyFill="1" applyBorder="1" applyAlignment="1">
      <alignment horizontal="right" vertical="center"/>
    </xf>
    <xf numFmtId="0" fontId="23" fillId="12" borderId="30" xfId="0" applyFont="1" applyFill="1" applyBorder="1" applyAlignment="1">
      <alignment horizontal="center" vertical="center" wrapText="1"/>
    </xf>
    <xf numFmtId="0" fontId="23" fillId="12" borderId="18" xfId="0" applyFont="1" applyFill="1" applyBorder="1" applyAlignment="1">
      <alignment horizontal="center" vertical="center" wrapText="1"/>
    </xf>
    <xf numFmtId="0" fontId="23" fillId="12" borderId="27" xfId="0" applyFont="1" applyFill="1" applyBorder="1" applyAlignment="1">
      <alignment horizontal="center" vertical="center" wrapText="1"/>
    </xf>
    <xf numFmtId="0" fontId="22" fillId="12" borderId="16" xfId="0" applyFont="1" applyFill="1" applyBorder="1" applyAlignment="1">
      <alignment horizontal="right" vertical="center" wrapText="1"/>
    </xf>
    <xf numFmtId="0" fontId="23" fillId="12" borderId="15" xfId="0" applyFont="1" applyFill="1" applyBorder="1" applyAlignment="1">
      <alignment horizontal="center" vertical="center"/>
    </xf>
    <xf numFmtId="0" fontId="23" fillId="12" borderId="24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40" fillId="12" borderId="71" xfId="0" applyFont="1" applyFill="1" applyBorder="1" applyAlignment="1">
      <alignment horizontal="left" vertical="center"/>
    </xf>
    <xf numFmtId="0" fontId="66" fillId="12" borderId="16" xfId="0" applyFont="1" applyFill="1" applyBorder="1" applyAlignment="1">
      <alignment horizontal="center" vertical="center"/>
    </xf>
    <xf numFmtId="0" fontId="66" fillId="12" borderId="16" xfId="0" applyFont="1" applyFill="1" applyBorder="1" applyAlignment="1">
      <alignment horizontal="left" vertical="center"/>
    </xf>
    <xf numFmtId="0" fontId="84" fillId="0" borderId="0" xfId="0" applyFont="1" applyFill="1" applyAlignment="1">
      <alignment horizontal="left" vertical="top" wrapText="1"/>
    </xf>
    <xf numFmtId="0" fontId="66" fillId="12" borderId="0" xfId="0" applyFont="1" applyFill="1" applyAlignment="1">
      <alignment horizontal="center" vertical="center"/>
    </xf>
    <xf numFmtId="0" fontId="66" fillId="12" borderId="40" xfId="0" applyFont="1" applyFill="1" applyBorder="1" applyAlignment="1">
      <alignment horizontal="left" vertical="center"/>
    </xf>
    <xf numFmtId="0" fontId="66" fillId="12" borderId="15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3" fillId="2" borderId="16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left" vertical="center"/>
    </xf>
    <xf numFmtId="0" fontId="23" fillId="17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left" vertical="center" wrapText="1"/>
    </xf>
    <xf numFmtId="0" fontId="22" fillId="17" borderId="16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vertical="center" wrapText="1"/>
    </xf>
    <xf numFmtId="0" fontId="22" fillId="2" borderId="16" xfId="0" applyFont="1" applyFill="1" applyBorder="1"/>
    <xf numFmtId="0" fontId="22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12" borderId="15" xfId="0" applyFont="1" applyFill="1" applyBorder="1" applyAlignment="1">
      <alignment horizontal="left" vertical="center" wrapText="1"/>
    </xf>
    <xf numFmtId="0" fontId="22" fillId="12" borderId="17" xfId="0" applyFont="1" applyFill="1" applyBorder="1" applyAlignment="1">
      <alignment horizontal="left" vertical="center" wrapText="1"/>
    </xf>
    <xf numFmtId="0" fontId="10" fillId="2" borderId="0" xfId="6" applyFont="1" applyFill="1" applyBorder="1" applyAlignment="1">
      <alignment horizontal="left" vertical="center"/>
    </xf>
    <xf numFmtId="0" fontId="23" fillId="0" borderId="0" xfId="6" applyFont="1" applyFill="1" applyBorder="1" applyAlignment="1">
      <alignment horizontal="left" vertical="center" wrapText="1"/>
    </xf>
    <xf numFmtId="0" fontId="23" fillId="0" borderId="45" xfId="6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9" fillId="2" borderId="16" xfId="4" applyFont="1" applyFill="1" applyBorder="1" applyAlignment="1">
      <alignment horizontal="center" vertical="center" wrapText="1"/>
    </xf>
    <xf numFmtId="0" fontId="29" fillId="2" borderId="45" xfId="4" applyFont="1" applyFill="1" applyBorder="1" applyAlignment="1">
      <alignment horizontal="left" vertical="center" wrapText="1"/>
    </xf>
    <xf numFmtId="0" fontId="30" fillId="0" borderId="16" xfId="4" applyFont="1" applyFill="1" applyBorder="1" applyAlignment="1">
      <alignment horizontal="center" vertical="center" wrapText="1"/>
    </xf>
    <xf numFmtId="0" fontId="29" fillId="2" borderId="0" xfId="4" applyFont="1" applyFill="1" applyBorder="1" applyAlignment="1">
      <alignment horizontal="center" vertical="center" wrapText="1"/>
    </xf>
    <xf numFmtId="0" fontId="23" fillId="2" borderId="16" xfId="4" applyFont="1" applyFill="1" applyBorder="1" applyAlignment="1">
      <alignment horizontal="center" vertical="center" wrapText="1"/>
    </xf>
    <xf numFmtId="0" fontId="29" fillId="2" borderId="61" xfId="4" applyFont="1" applyFill="1" applyBorder="1" applyAlignment="1">
      <alignment horizontal="left"/>
    </xf>
    <xf numFmtId="0" fontId="29" fillId="2" borderId="56" xfId="4" applyFont="1" applyFill="1" applyBorder="1" applyAlignment="1">
      <alignment horizontal="left"/>
    </xf>
    <xf numFmtId="0" fontId="30" fillId="0" borderId="15" xfId="4" applyFont="1" applyFill="1" applyBorder="1" applyAlignment="1">
      <alignment horizontal="center" vertical="center" wrapText="1"/>
    </xf>
    <xf numFmtId="0" fontId="30" fillId="0" borderId="24" xfId="4" applyFont="1" applyFill="1" applyBorder="1" applyAlignment="1">
      <alignment horizontal="center" vertical="center" wrapText="1"/>
    </xf>
    <xf numFmtId="0" fontId="30" fillId="0" borderId="17" xfId="4" applyFont="1" applyFill="1" applyBorder="1" applyAlignment="1">
      <alignment horizontal="center" vertical="center" wrapText="1"/>
    </xf>
    <xf numFmtId="0" fontId="29" fillId="2" borderId="54" xfId="4" applyFont="1" applyFill="1" applyBorder="1" applyAlignment="1">
      <alignment horizontal="center" vertical="center" wrapText="1"/>
    </xf>
    <xf numFmtId="0" fontId="29" fillId="2" borderId="32" xfId="4" applyFont="1" applyFill="1" applyBorder="1" applyAlignment="1">
      <alignment horizontal="center" vertical="center" wrapText="1"/>
    </xf>
    <xf numFmtId="0" fontId="29" fillId="2" borderId="57" xfId="4" applyFont="1" applyFill="1" applyBorder="1" applyAlignment="1">
      <alignment horizontal="center" vertical="center" wrapText="1"/>
    </xf>
    <xf numFmtId="0" fontId="29" fillId="2" borderId="33" xfId="4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left" vertical="center" wrapText="1"/>
    </xf>
    <xf numFmtId="0" fontId="23" fillId="2" borderId="3" xfId="4" applyFont="1" applyFill="1" applyBorder="1" applyAlignment="1">
      <alignment horizontal="left" vertical="center" wrapText="1"/>
    </xf>
    <xf numFmtId="0" fontId="29" fillId="2" borderId="18" xfId="4" applyFont="1" applyFill="1" applyBorder="1" applyAlignment="1">
      <alignment horizontal="left" vertical="center" wrapText="1"/>
    </xf>
    <xf numFmtId="0" fontId="29" fillId="4" borderId="19" xfId="4" applyFont="1" applyFill="1" applyBorder="1" applyAlignment="1">
      <alignment horizontal="center" wrapText="1"/>
    </xf>
    <xf numFmtId="0" fontId="29" fillId="4" borderId="16" xfId="4" applyFont="1" applyFill="1" applyBorder="1" applyAlignment="1">
      <alignment horizontal="center" wrapText="1"/>
    </xf>
    <xf numFmtId="0" fontId="29" fillId="2" borderId="55" xfId="4" applyFont="1" applyFill="1" applyBorder="1" applyAlignment="1">
      <alignment horizontal="center" vertical="center"/>
    </xf>
    <xf numFmtId="0" fontId="29" fillId="2" borderId="60" xfId="4" applyFont="1" applyFill="1" applyBorder="1" applyAlignment="1">
      <alignment horizontal="center" vertical="center"/>
    </xf>
    <xf numFmtId="0" fontId="29" fillId="2" borderId="0" xfId="4" applyFont="1" applyFill="1" applyBorder="1" applyAlignment="1">
      <alignment horizontal="center" vertical="top" wrapText="1"/>
    </xf>
    <xf numFmtId="0" fontId="29" fillId="2" borderId="0" xfId="4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12" borderId="1" xfId="0" applyFont="1" applyFill="1" applyBorder="1" applyAlignment="1">
      <alignment horizontal="left" vertical="center" wrapText="1"/>
    </xf>
    <xf numFmtId="0" fontId="22" fillId="12" borderId="2" xfId="0" applyFont="1" applyFill="1" applyBorder="1" applyAlignment="1">
      <alignment horizontal="left" vertical="center" wrapText="1"/>
    </xf>
    <xf numFmtId="0" fontId="22" fillId="12" borderId="3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5" fillId="0" borderId="15" xfId="6" applyFont="1" applyFill="1" applyBorder="1" applyAlignment="1">
      <alignment horizontal="right" vertical="center"/>
    </xf>
    <xf numFmtId="0" fontId="23" fillId="0" borderId="29" xfId="6" applyFont="1" applyFill="1" applyBorder="1" applyAlignment="1">
      <alignment horizontal="center" vertical="center" wrapText="1"/>
    </xf>
    <xf numFmtId="0" fontId="23" fillId="0" borderId="24" xfId="6" applyFont="1" applyFill="1" applyBorder="1" applyAlignment="1">
      <alignment horizontal="center" vertical="center" wrapText="1"/>
    </xf>
    <xf numFmtId="0" fontId="23" fillId="0" borderId="58" xfId="6" applyFont="1" applyFill="1" applyBorder="1" applyAlignment="1">
      <alignment horizontal="center" vertical="center" wrapText="1"/>
    </xf>
    <xf numFmtId="0" fontId="23" fillId="0" borderId="59" xfId="6" applyFont="1" applyFill="1" applyBorder="1" applyAlignment="1">
      <alignment horizontal="left" vertical="center" wrapText="1"/>
    </xf>
    <xf numFmtId="0" fontId="23" fillId="0" borderId="17" xfId="6" applyFont="1" applyFill="1" applyBorder="1" applyAlignment="1">
      <alignment horizontal="left" vertical="center" wrapText="1"/>
    </xf>
    <xf numFmtId="0" fontId="23" fillId="0" borderId="24" xfId="6" applyFont="1" applyFill="1" applyBorder="1" applyAlignment="1">
      <alignment horizontal="left" vertical="center" wrapText="1"/>
    </xf>
    <xf numFmtId="0" fontId="23" fillId="0" borderId="58" xfId="6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6" xfId="0" applyFont="1" applyFill="1" applyBorder="1"/>
    <xf numFmtId="0" fontId="22" fillId="0" borderId="15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33" applyBorder="1" applyAlignment="1">
      <alignment horizontal="center" vertical="center" wrapText="1"/>
    </xf>
    <xf numFmtId="0" fontId="103" fillId="0" borderId="115" xfId="33" applyFont="1" applyBorder="1" applyAlignment="1">
      <alignment horizontal="center" vertical="center"/>
    </xf>
    <xf numFmtId="0" fontId="103" fillId="0" borderId="116" xfId="33" applyFont="1" applyBorder="1" applyAlignment="1">
      <alignment horizontal="center" vertical="center"/>
    </xf>
    <xf numFmtId="0" fontId="103" fillId="0" borderId="74" xfId="33" applyFont="1" applyBorder="1" applyAlignment="1">
      <alignment horizontal="center" vertical="center"/>
    </xf>
    <xf numFmtId="0" fontId="103" fillId="0" borderId="70" xfId="33" applyFont="1" applyBorder="1" applyAlignment="1">
      <alignment horizontal="center" vertical="center"/>
    </xf>
    <xf numFmtId="0" fontId="103" fillId="0" borderId="71" xfId="33" applyFont="1" applyBorder="1" applyAlignment="1">
      <alignment horizontal="center" vertical="center"/>
    </xf>
    <xf numFmtId="0" fontId="1" fillId="0" borderId="0" xfId="33" applyBorder="1" applyAlignment="1">
      <alignment horizontal="center" vertical="center"/>
    </xf>
    <xf numFmtId="3" fontId="1" fillId="0" borderId="0" xfId="33" applyNumberFormat="1" applyBorder="1" applyAlignment="1">
      <alignment horizontal="center" vertical="center"/>
    </xf>
    <xf numFmtId="3" fontId="1" fillId="0" borderId="0" xfId="33" applyNumberFormat="1" applyBorder="1" applyAlignment="1">
      <alignment horizontal="right" vertical="center"/>
    </xf>
    <xf numFmtId="0" fontId="16" fillId="12" borderId="45" xfId="0" applyFont="1" applyFill="1" applyBorder="1" applyAlignment="1">
      <alignment horizontal="center"/>
    </xf>
    <xf numFmtId="0" fontId="100" fillId="12" borderId="0" xfId="0" applyFont="1" applyFill="1" applyBorder="1" applyAlignment="1">
      <alignment horizontal="left" vertical="center" wrapText="1"/>
    </xf>
    <xf numFmtId="0" fontId="9" fillId="2" borderId="18" xfId="6" applyFont="1" applyFill="1" applyBorder="1" applyAlignment="1">
      <alignment horizontal="center" vertical="center"/>
    </xf>
    <xf numFmtId="0" fontId="20" fillId="2" borderId="16" xfId="6" applyFont="1" applyFill="1" applyBorder="1" applyAlignment="1">
      <alignment horizontal="right" vertical="center" wrapText="1"/>
    </xf>
    <xf numFmtId="0" fontId="20" fillId="2" borderId="1" xfId="6" applyFont="1" applyFill="1" applyBorder="1" applyAlignment="1">
      <alignment horizontal="left" vertical="center"/>
    </xf>
    <xf numFmtId="0" fontId="20" fillId="2" borderId="2" xfId="6" applyFont="1" applyFill="1" applyBorder="1" applyAlignment="1">
      <alignment horizontal="left" vertical="center"/>
    </xf>
    <xf numFmtId="0" fontId="20" fillId="2" borderId="3" xfId="6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58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3" fillId="8" borderId="1" xfId="6" applyFont="1" applyFill="1" applyBorder="1" applyAlignment="1">
      <alignment horizontal="right" vertical="center"/>
    </xf>
    <xf numFmtId="0" fontId="23" fillId="8" borderId="3" xfId="6" applyFont="1" applyFill="1" applyBorder="1" applyAlignment="1">
      <alignment horizontal="right" vertical="center"/>
    </xf>
    <xf numFmtId="0" fontId="23" fillId="0" borderId="58" xfId="6" applyFont="1" applyFill="1" applyBorder="1" applyAlignment="1">
      <alignment horizontal="left" vertical="center"/>
    </xf>
    <xf numFmtId="0" fontId="23" fillId="0" borderId="0" xfId="6" applyFont="1" applyFill="1" applyBorder="1" applyAlignment="1">
      <alignment horizontal="left" vertical="center"/>
    </xf>
    <xf numFmtId="0" fontId="23" fillId="0" borderId="16" xfId="6" applyFont="1" applyFill="1" applyBorder="1" applyAlignment="1">
      <alignment horizontal="left" vertical="center"/>
    </xf>
    <xf numFmtId="0" fontId="20" fillId="8" borderId="16" xfId="6" applyFont="1" applyFill="1" applyBorder="1" applyAlignment="1">
      <alignment horizontal="right" vertical="center" wrapText="1"/>
    </xf>
    <xf numFmtId="0" fontId="20" fillId="2" borderId="1" xfId="6" applyFont="1" applyFill="1" applyBorder="1" applyAlignment="1">
      <alignment horizontal="right" vertical="center" wrapText="1"/>
    </xf>
    <xf numFmtId="0" fontId="20" fillId="2" borderId="3" xfId="6" applyFont="1" applyFill="1" applyBorder="1" applyAlignment="1">
      <alignment horizontal="right" vertical="center" wrapText="1"/>
    </xf>
    <xf numFmtId="0" fontId="20" fillId="2" borderId="16" xfId="6" applyFont="1" applyFill="1" applyBorder="1" applyAlignment="1">
      <alignment horizontal="right" wrapText="1"/>
    </xf>
    <xf numFmtId="0" fontId="20" fillId="2" borderId="1" xfId="6" applyFont="1" applyFill="1" applyBorder="1" applyAlignment="1">
      <alignment horizontal="left" vertical="center" wrapText="1"/>
    </xf>
    <xf numFmtId="0" fontId="20" fillId="2" borderId="2" xfId="6" applyFont="1" applyFill="1" applyBorder="1" applyAlignment="1">
      <alignment horizontal="left" vertical="center" wrapText="1"/>
    </xf>
    <xf numFmtId="0" fontId="20" fillId="2" borderId="3" xfId="6" applyFont="1" applyFill="1" applyBorder="1" applyAlignment="1">
      <alignment horizontal="left" vertical="center" wrapText="1"/>
    </xf>
    <xf numFmtId="0" fontId="20" fillId="2" borderId="0" xfId="6" applyFont="1" applyFill="1" applyBorder="1" applyAlignment="1">
      <alignment horizontal="center" vertical="center" wrapText="1"/>
    </xf>
    <xf numFmtId="0" fontId="20" fillId="2" borderId="16" xfId="6" applyFont="1" applyFill="1" applyBorder="1" applyAlignment="1">
      <alignment horizontal="center" vertical="center"/>
    </xf>
    <xf numFmtId="0" fontId="20" fillId="2" borderId="16" xfId="6" applyFont="1" applyFill="1" applyBorder="1" applyAlignment="1">
      <alignment horizontal="center" vertical="center" wrapText="1"/>
    </xf>
    <xf numFmtId="0" fontId="20" fillId="2" borderId="17" xfId="6" applyFont="1" applyFill="1" applyBorder="1" applyAlignment="1">
      <alignment horizontal="center" vertical="center" textRotation="90" wrapText="1"/>
    </xf>
    <xf numFmtId="0" fontId="20" fillId="2" borderId="16" xfId="6" applyFont="1" applyFill="1" applyBorder="1" applyAlignment="1">
      <alignment horizontal="center" vertical="center" textRotation="90" wrapText="1"/>
    </xf>
    <xf numFmtId="0" fontId="20" fillId="2" borderId="17" xfId="6" applyFont="1" applyFill="1" applyBorder="1" applyAlignment="1">
      <alignment horizontal="center" vertical="center" wrapText="1"/>
    </xf>
    <xf numFmtId="0" fontId="20" fillId="2" borderId="28" xfId="6" applyFont="1" applyFill="1" applyBorder="1" applyAlignment="1">
      <alignment horizontal="center" vertical="center" wrapText="1"/>
    </xf>
    <xf numFmtId="0" fontId="20" fillId="2" borderId="45" xfId="6" applyFont="1" applyFill="1" applyBorder="1" applyAlignment="1">
      <alignment horizontal="center" vertical="center" wrapText="1"/>
    </xf>
    <xf numFmtId="0" fontId="20" fillId="2" borderId="59" xfId="6" applyFont="1" applyFill="1" applyBorder="1" applyAlignment="1">
      <alignment horizontal="center" vertical="center" wrapText="1"/>
    </xf>
    <xf numFmtId="0" fontId="20" fillId="2" borderId="17" xfId="6" applyFont="1" applyFill="1" applyBorder="1" applyAlignment="1">
      <alignment horizontal="center" vertical="center"/>
    </xf>
    <xf numFmtId="0" fontId="40" fillId="2" borderId="31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vertical="center" wrapText="1"/>
    </xf>
    <xf numFmtId="0" fontId="40" fillId="2" borderId="43" xfId="0" applyFont="1" applyFill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3" fillId="21" borderId="31" xfId="0" applyFont="1" applyFill="1" applyBorder="1" applyAlignment="1">
      <alignment horizontal="center" vertical="center" wrapText="1"/>
    </xf>
    <xf numFmtId="0" fontId="53" fillId="21" borderId="43" xfId="0" applyFont="1" applyFill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6" fillId="0" borderId="30" xfId="6" applyFont="1" applyFill="1" applyBorder="1" applyAlignment="1">
      <alignment horizontal="left" vertical="center" indent="1"/>
    </xf>
    <xf numFmtId="0" fontId="56" fillId="0" borderId="18" xfId="6" applyFont="1" applyFill="1" applyBorder="1" applyAlignment="1">
      <alignment horizontal="left" vertical="center" indent="1"/>
    </xf>
    <xf numFmtId="0" fontId="56" fillId="0" borderId="27" xfId="6" applyFont="1" applyFill="1" applyBorder="1" applyAlignment="1">
      <alignment horizontal="left" vertical="center" indent="1"/>
    </xf>
    <xf numFmtId="0" fontId="54" fillId="0" borderId="0" xfId="6" applyFont="1" applyBorder="1" applyAlignment="1">
      <alignment horizontal="center" vertical="center" wrapText="1"/>
    </xf>
    <xf numFmtId="0" fontId="56" fillId="0" borderId="45" xfId="6" applyFont="1" applyFill="1" applyBorder="1" applyAlignment="1">
      <alignment horizontal="center" vertical="center" wrapText="1"/>
    </xf>
    <xf numFmtId="4" fontId="57" fillId="14" borderId="0" xfId="6" applyNumberFormat="1" applyFont="1" applyFill="1" applyBorder="1" applyAlignment="1">
      <alignment horizontal="center" vertical="center" wrapText="1"/>
    </xf>
    <xf numFmtId="0" fontId="56" fillId="0" borderId="16" xfId="6" applyFont="1" applyFill="1" applyBorder="1" applyAlignment="1">
      <alignment horizontal="center" vertical="center"/>
    </xf>
    <xf numFmtId="0" fontId="56" fillId="0" borderId="16" xfId="6" applyFont="1" applyFill="1" applyBorder="1" applyAlignment="1">
      <alignment horizontal="center" vertical="center" wrapText="1"/>
    </xf>
    <xf numFmtId="0" fontId="56" fillId="0" borderId="1" xfId="6" applyFont="1" applyBorder="1" applyAlignment="1">
      <alignment horizontal="center" vertical="center" wrapText="1"/>
    </xf>
    <xf numFmtId="0" fontId="56" fillId="0" borderId="2" xfId="6" applyFont="1" applyBorder="1" applyAlignment="1">
      <alignment horizontal="center" vertical="center" wrapText="1"/>
    </xf>
    <xf numFmtId="0" fontId="56" fillId="0" borderId="3" xfId="6" applyFont="1" applyBorder="1" applyAlignment="1">
      <alignment horizontal="center" vertical="center" wrapText="1"/>
    </xf>
    <xf numFmtId="0" fontId="56" fillId="0" borderId="15" xfId="6" applyFont="1" applyFill="1" applyBorder="1" applyAlignment="1">
      <alignment horizontal="center" vertical="center" wrapText="1"/>
    </xf>
    <xf numFmtId="0" fontId="56" fillId="0" borderId="17" xfId="6" applyFont="1" applyFill="1" applyBorder="1" applyAlignment="1">
      <alignment horizontal="center" vertical="center" wrapText="1"/>
    </xf>
    <xf numFmtId="0" fontId="56" fillId="0" borderId="1" xfId="6" applyFont="1" applyFill="1" applyBorder="1" applyAlignment="1">
      <alignment horizontal="center" vertical="center" wrapText="1"/>
    </xf>
    <xf numFmtId="0" fontId="56" fillId="0" borderId="2" xfId="6" applyFont="1" applyFill="1" applyBorder="1" applyAlignment="1">
      <alignment horizontal="center" vertical="center" wrapText="1"/>
    </xf>
    <xf numFmtId="0" fontId="56" fillId="0" borderId="3" xfId="6" applyFont="1" applyFill="1" applyBorder="1" applyAlignment="1">
      <alignment horizontal="center" vertical="center" wrapText="1"/>
    </xf>
    <xf numFmtId="0" fontId="56" fillId="14" borderId="1" xfId="6" applyFont="1" applyFill="1" applyBorder="1" applyAlignment="1">
      <alignment horizontal="center" vertical="center" wrapText="1"/>
    </xf>
    <xf numFmtId="0" fontId="56" fillId="14" borderId="2" xfId="6" applyFont="1" applyFill="1" applyBorder="1" applyAlignment="1">
      <alignment horizontal="center" vertical="center" wrapText="1"/>
    </xf>
    <xf numFmtId="0" fontId="56" fillId="14" borderId="3" xfId="6" applyFont="1" applyFill="1" applyBorder="1" applyAlignment="1">
      <alignment horizontal="center" vertical="center" wrapText="1"/>
    </xf>
    <xf numFmtId="3" fontId="56" fillId="15" borderId="1" xfId="6" applyNumberFormat="1" applyFont="1" applyFill="1" applyBorder="1" applyAlignment="1">
      <alignment horizontal="right" vertical="center" indent="1"/>
    </xf>
    <xf numFmtId="3" fontId="56" fillId="15" borderId="3" xfId="6" applyNumberFormat="1" applyFont="1" applyFill="1" applyBorder="1" applyAlignment="1">
      <alignment horizontal="right" vertical="center" indent="1"/>
    </xf>
    <xf numFmtId="3" fontId="55" fillId="0" borderId="18" xfId="6" applyNumberFormat="1" applyFont="1" applyFill="1" applyBorder="1" applyAlignment="1">
      <alignment horizontal="left" vertical="center"/>
    </xf>
    <xf numFmtId="0" fontId="56" fillId="0" borderId="28" xfId="6" applyFont="1" applyFill="1" applyBorder="1" applyAlignment="1">
      <alignment horizontal="left" vertical="center" wrapText="1" indent="1"/>
    </xf>
    <xf numFmtId="0" fontId="56" fillId="0" borderId="45" xfId="6" applyFont="1" applyFill="1" applyBorder="1" applyAlignment="1">
      <alignment horizontal="left" vertical="center" wrapText="1" indent="1"/>
    </xf>
    <xf numFmtId="0" fontId="56" fillId="0" borderId="59" xfId="6" applyFont="1" applyFill="1" applyBorder="1" applyAlignment="1">
      <alignment horizontal="left" vertical="center" wrapText="1" indent="1"/>
    </xf>
    <xf numFmtId="3" fontId="56" fillId="0" borderId="1" xfId="6" applyNumberFormat="1" applyFont="1" applyFill="1" applyBorder="1" applyAlignment="1">
      <alignment horizontal="right" vertical="center" indent="1"/>
    </xf>
    <xf numFmtId="3" fontId="56" fillId="0" borderId="3" xfId="6" applyNumberFormat="1" applyFont="1" applyFill="1" applyBorder="1" applyAlignment="1">
      <alignment horizontal="right" vertical="center" indent="1"/>
    </xf>
    <xf numFmtId="3" fontId="56" fillId="0" borderId="30" xfId="6" applyNumberFormat="1" applyFont="1" applyFill="1" applyBorder="1" applyAlignment="1">
      <alignment horizontal="left" vertical="center" indent="1"/>
    </xf>
    <xf numFmtId="3" fontId="56" fillId="0" borderId="18" xfId="6" applyNumberFormat="1" applyFont="1" applyFill="1" applyBorder="1" applyAlignment="1">
      <alignment horizontal="left" vertical="center" indent="1"/>
    </xf>
    <xf numFmtId="3" fontId="56" fillId="0" borderId="27" xfId="6" applyNumberFormat="1" applyFont="1" applyFill="1" applyBorder="1" applyAlignment="1">
      <alignment horizontal="left" vertical="center" indent="1"/>
    </xf>
    <xf numFmtId="3" fontId="56" fillId="0" borderId="59" xfId="6" applyNumberFormat="1" applyFont="1" applyFill="1" applyBorder="1" applyAlignment="1">
      <alignment horizontal="right" vertical="center" indent="1"/>
    </xf>
    <xf numFmtId="0" fontId="56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</cellXfs>
  <cellStyles count="34">
    <cellStyle name="Dziesiętny" xfId="25" builtinId="3"/>
    <cellStyle name="Dziesiętny 2" xfId="30"/>
    <cellStyle name="Normalny" xfId="0" builtinId="0"/>
    <cellStyle name="Normalny 10" xfId="32"/>
    <cellStyle name="Normalny 11" xfId="29"/>
    <cellStyle name="Normalny 12" xfId="33"/>
    <cellStyle name="Normalny 2" xfId="1"/>
    <cellStyle name="Normalny 3" xfId="2"/>
    <cellStyle name="Normalny 3 2" xfId="3"/>
    <cellStyle name="Normalny 3 3" xfId="4"/>
    <cellStyle name="Normalny 3_plan wieloletni 17.09. gk" xfId="5"/>
    <cellStyle name="Normalny 4" xfId="9"/>
    <cellStyle name="Normalny 4 2" xfId="19"/>
    <cellStyle name="Normalny 5" xfId="10"/>
    <cellStyle name="Normalny 6" xfId="11"/>
    <cellStyle name="Normalny 7" xfId="21"/>
    <cellStyle name="Normalny 8" xfId="28"/>
    <cellStyle name="Normalny 9" xfId="27"/>
    <cellStyle name="Normalny_plany wersja M-1 po poprawce 4" xfId="6"/>
    <cellStyle name="Normalny_T-Ispa" xfId="7"/>
    <cellStyle name="Procentowy" xfId="26" builtinId="5"/>
    <cellStyle name="Procentowy 2" xfId="8"/>
    <cellStyle name="Procentowy 2 2" xfId="22"/>
    <cellStyle name="Procentowy 3" xfId="12"/>
    <cellStyle name="Procentowy 4" xfId="13"/>
    <cellStyle name="Procentowy 5" xfId="14"/>
    <cellStyle name="Procentowy 6" xfId="15"/>
    <cellStyle name="Procentowy 7" xfId="20"/>
    <cellStyle name="Procentowy 8" xfId="31"/>
    <cellStyle name="Walutowy 2" xfId="16"/>
    <cellStyle name="Walutowy 2 2" xfId="23"/>
    <cellStyle name="Walutowy 3" xfId="17"/>
    <cellStyle name="Walutowy 3 2" xfId="24"/>
    <cellStyle name="Zawijanie" xfId="18"/>
  </cellStyles>
  <dxfs count="1"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33"/>
      <color rgb="FF66FFFF"/>
      <color rgb="FFEBE3E8"/>
      <color rgb="FFFFCCFF"/>
      <color rgb="FFFFFF99"/>
      <color rgb="FFCCFFFF"/>
      <color rgb="FF456B56"/>
      <color rgb="FF66FF33"/>
      <color rgb="FFCC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JAN~1/AppData/Local/Temp/Users/LPLUCI~1/AppData/Local/Temp/DOCUME~1/AROGUS~1/USTAWI~1/Temp/DOCUME~1/SWESOL~1/USTAWI~1/Temp/pw%202012-2015%20od%20T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JAN~1/AppData/Local/Temp/Users/LPLUCI~1/AppData/Local/Temp/DOCUME~1/AROGUS~1/USTAWI~1/Temp/!/Plany%20Wieloletnie/2010/pw%202010%20v1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CJAN~1/AppData/Local/Temp/Users/Z.%20Kachniarz/Documents/Zbigi/TW%20-%20Toru&#324;skie%20Wodoci&#261;gi%20Sp&#243;&#322;ka%20z%20o.o/Plan%20Wieloletni/2015/Wniosek1/Tabela%20A%20nowa%20z%20og&#243;&#322;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GAWRO~1/AppData/Local/Temp/WPI,%20WPRiM%202019-2023%20-%20WERSJA%20OSTATECZNA%2015-02-2019/Sprawozdanie%20z%20wyk.%20planu%20inwestycji%20za%20rok%202018-%20DO%20BEINW%2012-02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KOSTU~1/AppData/Local/Temp/Kopia%20Pozyczki%20i%20kredyty%20TW%20Sp.%20z%20o.o.%20-%20stan%20na%2031.05.2020r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KOSTU~1/AppData/Local/Temp/po&#380;yczki%20impu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Nr 1"/>
      <sheetName val="Tabela Nr 2"/>
      <sheetName val="Tabela Nr 3"/>
      <sheetName val="Tabela Nr 4 PI"/>
      <sheetName val="Tabela Nr 5 Tab3+PI"/>
      <sheetName val="przepływy"/>
      <sheetName val="pożyczki.dotacje"/>
    </sheetNames>
    <sheetDataSet>
      <sheetData sheetId="0"/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Nr 1"/>
      <sheetName val="Tabela Nr 2"/>
      <sheetName val="Tabela Nr 3.1"/>
      <sheetName val="PI"/>
      <sheetName val="Tabela Nr 3.2"/>
      <sheetName val="przepływy"/>
      <sheetName val="Am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wodociag 30.09.2014"/>
      <sheetName val="T 2 kanalizacja 30.09.2014"/>
      <sheetName val="T3 podsumowanie bez tabeli 3"/>
      <sheetName val="T 4 zestawienie Z T3 30.09.2014"/>
      <sheetName val="T 4 zestawienie BEZ T3 "/>
      <sheetName val="T3A"/>
      <sheetName val="T3A do uchwały 30.09.2014"/>
      <sheetName val="30-09-2014 T3"/>
      <sheetName val="Tabela A porówn. planów"/>
      <sheetName val="Tabela B przepływy"/>
      <sheetName val="pożyczki.dotacje"/>
      <sheetName val="Arkusz2"/>
      <sheetName val="Arkusz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wodociag 2018"/>
      <sheetName val="T 2 kanalizacja 2018"/>
      <sheetName val="T3 podsumowanie bez tabeli 3"/>
      <sheetName val="T 4 zest. BEZ Z T3 2017-2024"/>
      <sheetName val="T 4 zestawienie BEZ T3 "/>
      <sheetName val="T3A"/>
      <sheetName val="T 4 zest. bez T3 2015-2023 "/>
      <sheetName val="T3A do uchwały 21.05.2015"/>
      <sheetName val="T3A do uchwały 21.05.2015 (2)"/>
      <sheetName val="T3 WPI 2017-2023"/>
      <sheetName val="Tabela zbiorcza 2018 "/>
      <sheetName val="Wyliczenia Polna"/>
      <sheetName val="Tabela A porówn. planów"/>
      <sheetName val="PORÓWNANIE PLANÓW"/>
      <sheetName val="Załącznik D NIE"/>
      <sheetName val="Załącznik Dnew"/>
      <sheetName val="Załącznik C"/>
      <sheetName val="Arkusz2"/>
      <sheetName val="Arkusz3"/>
      <sheetName val="WPI_23-08-2016"/>
      <sheetName val="Arkusz1"/>
      <sheetName val="Arkusz4"/>
      <sheetName val="Arkusz5"/>
      <sheetName val="rezerwa"/>
      <sheetName val="wykonaie + opis 30.10.2018"/>
      <sheetName val="wykoanie 2018 dp spr. Zarządu"/>
      <sheetName val="Arkusz6"/>
      <sheetName val="Arkusz7"/>
      <sheetName val="wykonaie 29.08.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6">
          <cell r="W16">
            <v>63.89</v>
          </cell>
        </row>
        <row r="23">
          <cell r="W23">
            <v>28.15</v>
          </cell>
        </row>
        <row r="118">
          <cell r="Z118">
            <v>300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yty i pożyczki_31.12.2019"/>
    </sheetNames>
    <sheetDataSet>
      <sheetData sheetId="0">
        <row r="21">
          <cell r="N21">
            <v>2167.1559999999999</v>
          </cell>
          <cell r="O21">
            <v>2480.4859999999999</v>
          </cell>
          <cell r="P21">
            <v>2530.3959999999997</v>
          </cell>
          <cell r="Q21">
            <v>2880.3959999999997</v>
          </cell>
          <cell r="R21">
            <v>2880.3959999999997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życzki impuls"/>
    </sheetNames>
    <sheetDataSet>
      <sheetData sheetId="0">
        <row r="4">
          <cell r="O4">
            <v>2281928.16</v>
          </cell>
        </row>
        <row r="8">
          <cell r="P8">
            <v>1521358.8</v>
          </cell>
        </row>
        <row r="9">
          <cell r="P9">
            <v>1005192.96</v>
          </cell>
        </row>
        <row r="10">
          <cell r="P10">
            <v>455956.68</v>
          </cell>
        </row>
        <row r="11">
          <cell r="P11">
            <v>345296.56</v>
          </cell>
        </row>
        <row r="14">
          <cell r="O14">
            <v>1092734.71</v>
          </cell>
        </row>
        <row r="15">
          <cell r="O15">
            <v>2042026.38</v>
          </cell>
        </row>
        <row r="16">
          <cell r="O16">
            <v>1244298.21</v>
          </cell>
        </row>
        <row r="25">
          <cell r="O25">
            <v>5399998.7999999998</v>
          </cell>
        </row>
        <row r="27">
          <cell r="O27">
            <v>513360.38</v>
          </cell>
        </row>
        <row r="28">
          <cell r="O28">
            <v>1346182.15</v>
          </cell>
        </row>
        <row r="30">
          <cell r="O30">
            <v>3331034.11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100"/>
  <sheetViews>
    <sheetView showZeros="0" view="pageBreakPreview" zoomScaleNormal="100" zoomScaleSheetLayoutView="100" workbookViewId="0">
      <pane ySplit="7" topLeftCell="A8" activePane="bottomLeft" state="frozen"/>
      <selection activeCell="E14" sqref="A14:XFD14"/>
      <selection pane="bottomLeft" activeCell="J3" sqref="J3"/>
    </sheetView>
  </sheetViews>
  <sheetFormatPr defaultColWidth="8.7109375" defaultRowHeight="15.75" outlineLevelRow="1" outlineLevelCol="1"/>
  <cols>
    <col min="1" max="1" width="5.5703125" style="874" customWidth="1"/>
    <col min="2" max="2" width="72.85546875" style="728" customWidth="1"/>
    <col min="3" max="3" width="8.28515625" style="727" hidden="1" customWidth="1" outlineLevel="1"/>
    <col min="4" max="4" width="9.7109375" style="874" customWidth="1" collapsed="1"/>
    <col min="5" max="5" width="6.5703125" style="718" hidden="1" customWidth="1" outlineLevel="1"/>
    <col min="6" max="6" width="6.42578125" style="718" hidden="1" customWidth="1" outlineLevel="1"/>
    <col min="7" max="7" width="5.28515625" style="718" hidden="1" customWidth="1" outlineLevel="1"/>
    <col min="8" max="8" width="6.5703125" style="718" customWidth="1" collapsed="1"/>
    <col min="9" max="9" width="6.28515625" style="718" customWidth="1"/>
    <col min="10" max="10" width="5.28515625" style="718" customWidth="1"/>
    <col min="11" max="11" width="6.140625" style="718" customWidth="1"/>
    <col min="12" max="12" width="7.28515625" style="718" customWidth="1"/>
    <col min="13" max="13" width="5.28515625" style="718" customWidth="1"/>
    <col min="14" max="14" width="6.28515625" style="718" customWidth="1"/>
    <col min="15" max="15" width="6" style="718" customWidth="1"/>
    <col min="16" max="16" width="5.28515625" style="718" customWidth="1"/>
    <col min="17" max="17" width="6.28515625" style="718" customWidth="1"/>
    <col min="18" max="18" width="6.5703125" style="718" customWidth="1"/>
    <col min="19" max="22" width="5.28515625" style="718" customWidth="1"/>
    <col min="23" max="24" width="7.42578125" style="849" customWidth="1"/>
    <col min="25" max="25" width="8.7109375" style="1172" hidden="1" customWidth="1"/>
    <col min="26" max="26" width="8.7109375" style="1173" hidden="1" customWidth="1"/>
    <col min="27" max="28" width="0" style="1173" hidden="1" customWidth="1"/>
    <col min="29" max="29" width="11.5703125" style="1173" hidden="1" customWidth="1"/>
    <col min="30" max="30" width="13.42578125" style="1173" hidden="1" customWidth="1"/>
    <col min="31" max="34" width="8.7109375" style="1174"/>
    <col min="35" max="16384" width="8.7109375" style="718"/>
  </cols>
  <sheetData>
    <row r="1" spans="1:34" ht="9.75" hidden="1" customHeight="1">
      <c r="A1" s="1456"/>
      <c r="B1" s="1456"/>
      <c r="C1" s="1456"/>
      <c r="D1" s="977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724"/>
      <c r="U1" s="724"/>
      <c r="V1" s="724"/>
      <c r="W1" s="848"/>
      <c r="X1" s="848"/>
    </row>
    <row r="2" spans="1:34" ht="15.75" customHeight="1">
      <c r="A2" s="1455" t="s">
        <v>1005</v>
      </c>
      <c r="B2" s="1455"/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  <c r="P2" s="1455"/>
      <c r="Q2" s="1455"/>
      <c r="R2" s="1455"/>
      <c r="S2" s="1455"/>
      <c r="T2" s="1455"/>
      <c r="U2" s="1455"/>
      <c r="V2" s="1455"/>
      <c r="W2" s="1455"/>
      <c r="X2" s="943"/>
    </row>
    <row r="3" spans="1:34" ht="18" customHeight="1">
      <c r="A3" s="1457" t="s">
        <v>1009</v>
      </c>
      <c r="B3" s="1457"/>
      <c r="C3" s="1457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  <c r="T3" s="1239"/>
      <c r="U3" s="1239"/>
      <c r="V3" s="1239"/>
      <c r="W3" s="1239"/>
      <c r="X3" s="1239"/>
    </row>
    <row r="4" spans="1:34" ht="15.75" customHeight="1">
      <c r="A4" s="1459" t="s">
        <v>13</v>
      </c>
      <c r="B4" s="1460" t="s">
        <v>17</v>
      </c>
      <c r="C4" s="944"/>
      <c r="D4" s="1461" t="s">
        <v>112</v>
      </c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  <c r="P4" s="1462"/>
      <c r="Q4" s="1462"/>
      <c r="R4" s="1462"/>
      <c r="S4" s="1462"/>
      <c r="T4" s="1462"/>
      <c r="U4" s="1462"/>
      <c r="V4" s="1462"/>
      <c r="W4" s="1463"/>
      <c r="X4" s="1243"/>
    </row>
    <row r="5" spans="1:34" ht="15.75" customHeight="1">
      <c r="A5" s="1459"/>
      <c r="B5" s="1460"/>
      <c r="C5" s="1458" t="s">
        <v>846</v>
      </c>
      <c r="D5" s="1464" t="s">
        <v>692</v>
      </c>
      <c r="E5" s="1459">
        <v>2021</v>
      </c>
      <c r="F5" s="1459"/>
      <c r="G5" s="1459"/>
      <c r="H5" s="1459">
        <v>2022</v>
      </c>
      <c r="I5" s="1459"/>
      <c r="J5" s="1459"/>
      <c r="K5" s="1459">
        <v>2023</v>
      </c>
      <c r="L5" s="1459"/>
      <c r="M5" s="1459"/>
      <c r="N5" s="1466">
        <v>2024</v>
      </c>
      <c r="O5" s="1467"/>
      <c r="P5" s="1468"/>
      <c r="Q5" s="1470">
        <v>2025</v>
      </c>
      <c r="R5" s="1471"/>
      <c r="S5" s="1472"/>
      <c r="T5" s="1470">
        <v>2026</v>
      </c>
      <c r="U5" s="1471"/>
      <c r="V5" s="1472"/>
      <c r="W5" s="1464" t="s">
        <v>848</v>
      </c>
      <c r="X5" s="1239"/>
    </row>
    <row r="6" spans="1:34" ht="42" customHeight="1">
      <c r="A6" s="1459"/>
      <c r="B6" s="1460"/>
      <c r="C6" s="1458"/>
      <c r="D6" s="1469"/>
      <c r="E6" s="945" t="s">
        <v>15</v>
      </c>
      <c r="F6" s="945" t="s">
        <v>19</v>
      </c>
      <c r="G6" s="1236" t="s">
        <v>529</v>
      </c>
      <c r="H6" s="945" t="s">
        <v>15</v>
      </c>
      <c r="I6" s="945" t="s">
        <v>19</v>
      </c>
      <c r="J6" s="1236" t="s">
        <v>529</v>
      </c>
      <c r="K6" s="945" t="s">
        <v>15</v>
      </c>
      <c r="L6" s="945" t="s">
        <v>19</v>
      </c>
      <c r="M6" s="1236" t="s">
        <v>529</v>
      </c>
      <c r="N6" s="945" t="s">
        <v>15</v>
      </c>
      <c r="O6" s="945" t="s">
        <v>19</v>
      </c>
      <c r="P6" s="1236" t="s">
        <v>529</v>
      </c>
      <c r="Q6" s="945" t="s">
        <v>15</v>
      </c>
      <c r="R6" s="945" t="s">
        <v>19</v>
      </c>
      <c r="S6" s="1236" t="s">
        <v>529</v>
      </c>
      <c r="T6" s="945" t="s">
        <v>15</v>
      </c>
      <c r="U6" s="945" t="s">
        <v>19</v>
      </c>
      <c r="V6" s="1236" t="s">
        <v>529</v>
      </c>
      <c r="W6" s="1465"/>
      <c r="X6" s="980"/>
    </row>
    <row r="7" spans="1:34" s="851" customFormat="1" ht="12.75" customHeight="1">
      <c r="A7" s="1237">
        <v>1</v>
      </c>
      <c r="B7" s="1238">
        <f>A7+1</f>
        <v>2</v>
      </c>
      <c r="C7" s="1238"/>
      <c r="D7" s="1237">
        <v>3</v>
      </c>
      <c r="E7" s="1237">
        <v>4</v>
      </c>
      <c r="F7" s="1237">
        <v>5</v>
      </c>
      <c r="G7" s="1237">
        <v>6</v>
      </c>
      <c r="H7" s="1237">
        <v>4</v>
      </c>
      <c r="I7" s="1237">
        <v>5</v>
      </c>
      <c r="J7" s="1237">
        <v>6</v>
      </c>
      <c r="K7" s="1237">
        <v>7</v>
      </c>
      <c r="L7" s="1237">
        <v>8</v>
      </c>
      <c r="M7" s="1237">
        <v>9</v>
      </c>
      <c r="N7" s="1237">
        <v>10</v>
      </c>
      <c r="O7" s="1237">
        <v>11</v>
      </c>
      <c r="P7" s="1237">
        <v>12</v>
      </c>
      <c r="Q7" s="1237">
        <v>13</v>
      </c>
      <c r="R7" s="1237">
        <v>14</v>
      </c>
      <c r="S7" s="1237">
        <v>15</v>
      </c>
      <c r="T7" s="1237">
        <v>16</v>
      </c>
      <c r="U7" s="1237">
        <v>17</v>
      </c>
      <c r="V7" s="1237">
        <v>18</v>
      </c>
      <c r="W7" s="1237">
        <v>19</v>
      </c>
      <c r="X7" s="980"/>
      <c r="Y7" s="1172" t="s">
        <v>803</v>
      </c>
      <c r="Z7" s="1172" t="s">
        <v>804</v>
      </c>
      <c r="AA7" s="977" t="s">
        <v>802</v>
      </c>
      <c r="AB7" s="977" t="s">
        <v>806</v>
      </c>
      <c r="AC7" s="1183" t="s">
        <v>807</v>
      </c>
      <c r="AD7" s="1183"/>
      <c r="AE7" s="1244"/>
      <c r="AF7" s="1244"/>
      <c r="AG7" s="1244"/>
      <c r="AH7" s="1244"/>
    </row>
    <row r="8" spans="1:34" s="837" customFormat="1" ht="15" customHeight="1">
      <c r="A8" s="1450" t="s">
        <v>727</v>
      </c>
      <c r="B8" s="1451"/>
      <c r="C8" s="1451"/>
      <c r="D8" s="1451"/>
      <c r="E8" s="1451"/>
      <c r="F8" s="1451"/>
      <c r="G8" s="1451"/>
      <c r="H8" s="1451"/>
      <c r="I8" s="1451"/>
      <c r="J8" s="1451"/>
      <c r="K8" s="1451"/>
      <c r="L8" s="1451"/>
      <c r="M8" s="1451"/>
      <c r="N8" s="1422"/>
      <c r="O8" s="1422"/>
      <c r="P8" s="1422"/>
      <c r="Q8" s="1422"/>
      <c r="R8" s="1422"/>
      <c r="S8" s="1422"/>
      <c r="T8" s="1422"/>
      <c r="U8" s="1422"/>
      <c r="V8" s="1422"/>
      <c r="W8" s="946">
        <f t="shared" ref="W8:W30" si="0">C8</f>
        <v>0</v>
      </c>
      <c r="X8" s="1171"/>
      <c r="Y8" s="1172"/>
      <c r="Z8" s="1235"/>
      <c r="AA8" s="1235"/>
      <c r="AB8" s="1235"/>
      <c r="AC8" s="1235"/>
      <c r="AD8" s="1235"/>
      <c r="AE8" s="1235"/>
      <c r="AF8" s="1235"/>
      <c r="AG8" s="1235"/>
      <c r="AH8" s="1235"/>
    </row>
    <row r="9" spans="1:34" ht="33" customHeight="1">
      <c r="A9" s="1237">
        <v>1</v>
      </c>
      <c r="B9" s="659" t="s">
        <v>946</v>
      </c>
      <c r="C9" s="663">
        <f>H9+K9+N9+Q9+T9</f>
        <v>430</v>
      </c>
      <c r="D9" s="852">
        <v>566</v>
      </c>
      <c r="E9" s="661">
        <f>F9+G9</f>
        <v>220</v>
      </c>
      <c r="F9" s="661">
        <v>220</v>
      </c>
      <c r="G9" s="661"/>
      <c r="H9" s="661">
        <f t="shared" ref="H9:H16" si="1">I9+J9</f>
        <v>0</v>
      </c>
      <c r="I9" s="661">
        <v>0</v>
      </c>
      <c r="J9" s="661"/>
      <c r="K9" s="661">
        <f t="shared" ref="K9:K25" si="2">L9+M9</f>
        <v>0</v>
      </c>
      <c r="L9" s="661">
        <f>(100+300)*0</f>
        <v>0</v>
      </c>
      <c r="M9" s="661"/>
      <c r="N9" s="661">
        <f t="shared" ref="N9:N16" si="3">O9+P9</f>
        <v>430</v>
      </c>
      <c r="O9" s="947">
        <v>430</v>
      </c>
      <c r="P9" s="947"/>
      <c r="Q9" s="947"/>
      <c r="R9" s="947"/>
      <c r="S9" s="947"/>
      <c r="T9" s="947"/>
      <c r="U9" s="947"/>
      <c r="V9" s="947"/>
      <c r="W9" s="946">
        <f t="shared" si="0"/>
        <v>430</v>
      </c>
      <c r="X9" s="1171"/>
      <c r="Y9" s="1172">
        <v>220</v>
      </c>
      <c r="Z9" s="1173">
        <v>220</v>
      </c>
      <c r="AA9" s="1173">
        <v>0</v>
      </c>
      <c r="AB9" s="1172">
        <f>Y9-Z9-AA9</f>
        <v>0</v>
      </c>
      <c r="AC9" s="1172"/>
      <c r="AD9" s="1172">
        <f>F9-Z9</f>
        <v>0</v>
      </c>
      <c r="AF9" s="1175"/>
    </row>
    <row r="10" spans="1:34" ht="28.5" customHeight="1">
      <c r="A10" s="1237">
        <v>2</v>
      </c>
      <c r="B10" s="659" t="s">
        <v>895</v>
      </c>
      <c r="C10" s="663">
        <f>H10+K10+N10+Q10+T10</f>
        <v>1170</v>
      </c>
      <c r="D10" s="852">
        <v>416</v>
      </c>
      <c r="E10" s="661">
        <f>F10+G10</f>
        <v>300</v>
      </c>
      <c r="F10" s="661">
        <v>300</v>
      </c>
      <c r="G10" s="661"/>
      <c r="H10" s="661">
        <f t="shared" si="1"/>
        <v>650</v>
      </c>
      <c r="I10" s="661">
        <v>650</v>
      </c>
      <c r="J10" s="661"/>
      <c r="K10" s="661">
        <f t="shared" si="2"/>
        <v>520</v>
      </c>
      <c r="L10" s="661">
        <v>520</v>
      </c>
      <c r="M10" s="661"/>
      <c r="N10" s="661">
        <f t="shared" si="3"/>
        <v>0</v>
      </c>
      <c r="O10" s="947"/>
      <c r="P10" s="947"/>
      <c r="Q10" s="947"/>
      <c r="R10" s="947"/>
      <c r="S10" s="947"/>
      <c r="T10" s="947"/>
      <c r="U10" s="947"/>
      <c r="V10" s="947"/>
      <c r="W10" s="946">
        <f t="shared" si="0"/>
        <v>1170</v>
      </c>
      <c r="X10" s="1171"/>
      <c r="Y10" s="1172">
        <v>1100</v>
      </c>
      <c r="Z10" s="1173">
        <v>200</v>
      </c>
      <c r="AA10" s="1173">
        <v>0</v>
      </c>
      <c r="AB10" s="1172">
        <f t="shared" ref="AB10:AB80" si="4">Y10-Z10-AA10</f>
        <v>900</v>
      </c>
      <c r="AC10" s="1172"/>
      <c r="AD10" s="1172">
        <f t="shared" ref="AD10:AD80" si="5">F10-Z10</f>
        <v>100</v>
      </c>
      <c r="AF10" s="1175"/>
    </row>
    <row r="11" spans="1:34" ht="66.75" customHeight="1">
      <c r="A11" s="1237">
        <v>3</v>
      </c>
      <c r="B11" s="659" t="s">
        <v>897</v>
      </c>
      <c r="C11" s="663">
        <f t="shared" ref="C11:C48" si="6">H11+K11+N11+Q11+T11</f>
        <v>1920</v>
      </c>
      <c r="D11" s="852"/>
      <c r="E11" s="661">
        <f>F11+G11</f>
        <v>0</v>
      </c>
      <c r="F11" s="661">
        <f>600*0</f>
        <v>0</v>
      </c>
      <c r="G11" s="661"/>
      <c r="H11" s="661">
        <f t="shared" si="1"/>
        <v>0</v>
      </c>
      <c r="I11" s="661">
        <v>0</v>
      </c>
      <c r="J11" s="661"/>
      <c r="K11" s="661">
        <f t="shared" si="2"/>
        <v>520</v>
      </c>
      <c r="L11" s="661">
        <v>520</v>
      </c>
      <c r="M11" s="661"/>
      <c r="N11" s="661">
        <f t="shared" ref="N11" si="7">O11+P11</f>
        <v>630</v>
      </c>
      <c r="O11" s="947">
        <v>630</v>
      </c>
      <c r="P11" s="947"/>
      <c r="Q11" s="947">
        <f>R11+S11</f>
        <v>420</v>
      </c>
      <c r="R11" s="947">
        <v>420</v>
      </c>
      <c r="S11" s="947"/>
      <c r="T11" s="947">
        <f>U11+V11</f>
        <v>350</v>
      </c>
      <c r="U11" s="947">
        <v>350</v>
      </c>
      <c r="V11" s="947"/>
      <c r="W11" s="946">
        <f t="shared" si="0"/>
        <v>1920</v>
      </c>
      <c r="X11" s="1171"/>
      <c r="AB11" s="1172">
        <f t="shared" si="4"/>
        <v>0</v>
      </c>
      <c r="AC11" s="1172"/>
      <c r="AD11" s="1172">
        <f t="shared" si="5"/>
        <v>0</v>
      </c>
      <c r="AF11" s="1175"/>
    </row>
    <row r="12" spans="1:34" ht="30.75" customHeight="1">
      <c r="A12" s="1237">
        <v>4</v>
      </c>
      <c r="B12" s="659" t="s">
        <v>896</v>
      </c>
      <c r="C12" s="663">
        <f t="shared" si="6"/>
        <v>270</v>
      </c>
      <c r="D12" s="852"/>
      <c r="E12" s="661"/>
      <c r="F12" s="661"/>
      <c r="G12" s="661"/>
      <c r="H12" s="661"/>
      <c r="I12" s="661"/>
      <c r="J12" s="661"/>
      <c r="K12" s="661">
        <f t="shared" si="2"/>
        <v>0</v>
      </c>
      <c r="L12" s="661">
        <v>0</v>
      </c>
      <c r="M12" s="661"/>
      <c r="N12" s="661">
        <f>O12</f>
        <v>270</v>
      </c>
      <c r="O12" s="947">
        <v>270</v>
      </c>
      <c r="P12" s="947"/>
      <c r="Q12" s="947"/>
      <c r="R12" s="947"/>
      <c r="S12" s="947"/>
      <c r="T12" s="947"/>
      <c r="U12" s="947"/>
      <c r="V12" s="947"/>
      <c r="W12" s="946">
        <f t="shared" si="0"/>
        <v>270</v>
      </c>
      <c r="X12" s="1171"/>
      <c r="AB12" s="1172">
        <f t="shared" si="4"/>
        <v>0</v>
      </c>
      <c r="AC12" s="1172"/>
      <c r="AD12" s="1172">
        <f t="shared" si="5"/>
        <v>0</v>
      </c>
      <c r="AF12" s="1175"/>
    </row>
    <row r="13" spans="1:34" ht="24" hidden="1" customHeight="1" outlineLevel="1">
      <c r="A13" s="1237"/>
      <c r="B13" s="659" t="s">
        <v>716</v>
      </c>
      <c r="C13" s="663">
        <f t="shared" si="6"/>
        <v>0</v>
      </c>
      <c r="D13" s="852"/>
      <c r="E13" s="661">
        <f t="shared" ref="E13:E19" si="8">F13+G13</f>
        <v>300</v>
      </c>
      <c r="F13" s="661">
        <v>300</v>
      </c>
      <c r="G13" s="661"/>
      <c r="H13" s="661"/>
      <c r="I13" s="661"/>
      <c r="J13" s="661"/>
      <c r="K13" s="661"/>
      <c r="L13" s="661"/>
      <c r="M13" s="661"/>
      <c r="N13" s="661"/>
      <c r="O13" s="947"/>
      <c r="P13" s="947"/>
      <c r="Q13" s="947"/>
      <c r="R13" s="947"/>
      <c r="S13" s="947"/>
      <c r="T13" s="947"/>
      <c r="U13" s="947"/>
      <c r="V13" s="947"/>
      <c r="W13" s="946">
        <f t="shared" si="0"/>
        <v>0</v>
      </c>
      <c r="X13" s="1171"/>
      <c r="Y13" s="1172">
        <v>300</v>
      </c>
      <c r="Z13" s="1173">
        <v>300</v>
      </c>
      <c r="AA13" s="1173">
        <v>0</v>
      </c>
      <c r="AB13" s="1172">
        <f t="shared" si="4"/>
        <v>0</v>
      </c>
      <c r="AC13" s="1172"/>
      <c r="AD13" s="1172">
        <f t="shared" si="5"/>
        <v>0</v>
      </c>
      <c r="AF13" s="1175"/>
    </row>
    <row r="14" spans="1:34" s="1437" customFormat="1" ht="93.75" customHeight="1" collapsed="1">
      <c r="A14" s="1421">
        <v>5</v>
      </c>
      <c r="B14" s="659" t="s">
        <v>898</v>
      </c>
      <c r="C14" s="663">
        <f t="shared" si="6"/>
        <v>14995</v>
      </c>
      <c r="D14" s="852">
        <f>D15+D18+D27+D33</f>
        <v>1073</v>
      </c>
      <c r="E14" s="661">
        <f t="shared" si="8"/>
        <v>1555</v>
      </c>
      <c r="F14" s="661">
        <f>SUM(F15:F48)</f>
        <v>1555</v>
      </c>
      <c r="G14" s="661">
        <f>SUM(G15:G48)</f>
        <v>0</v>
      </c>
      <c r="H14" s="661">
        <f t="shared" si="1"/>
        <v>4380</v>
      </c>
      <c r="I14" s="661">
        <f>SUM(I15:I48)</f>
        <v>4380</v>
      </c>
      <c r="J14" s="661">
        <f>SUM(J15:J48)</f>
        <v>0</v>
      </c>
      <c r="K14" s="661">
        <f t="shared" si="2"/>
        <v>3800</v>
      </c>
      <c r="L14" s="661">
        <f>SUM(L15:L48)</f>
        <v>3800</v>
      </c>
      <c r="M14" s="661">
        <f>SUM(M15:M48)</f>
        <v>0</v>
      </c>
      <c r="N14" s="661">
        <f t="shared" si="3"/>
        <v>2075</v>
      </c>
      <c r="O14" s="661">
        <f>SUM(O15:O48)</f>
        <v>2075</v>
      </c>
      <c r="P14" s="661">
        <f>SUM(P15:P48)</f>
        <v>0</v>
      </c>
      <c r="Q14" s="947">
        <f>R14+S14</f>
        <v>2910</v>
      </c>
      <c r="R14" s="661">
        <f>SUM(R15:R48)</f>
        <v>2910</v>
      </c>
      <c r="S14" s="661">
        <f>SUM(S15:S48)</f>
        <v>0</v>
      </c>
      <c r="T14" s="947">
        <f>U14+V14</f>
        <v>1830</v>
      </c>
      <c r="U14" s="661">
        <f>SUM(U15:U48)</f>
        <v>1830</v>
      </c>
      <c r="V14" s="661">
        <f>SUM(V15:V48)</f>
        <v>0</v>
      </c>
      <c r="W14" s="946">
        <f t="shared" si="0"/>
        <v>14995</v>
      </c>
      <c r="X14" s="1171"/>
      <c r="Y14" s="1245"/>
      <c r="Z14" s="1435"/>
      <c r="AA14" s="1435"/>
      <c r="AB14" s="1245">
        <f t="shared" si="4"/>
        <v>0</v>
      </c>
      <c r="AC14" s="1245"/>
      <c r="AD14" s="1245">
        <f t="shared" si="5"/>
        <v>1555</v>
      </c>
      <c r="AE14" s="1244"/>
      <c r="AF14" s="1436"/>
      <c r="AG14" s="1244"/>
      <c r="AH14" s="1244"/>
    </row>
    <row r="15" spans="1:34" ht="20.100000000000001" hidden="1" customHeight="1">
      <c r="A15" s="826" t="s">
        <v>861</v>
      </c>
      <c r="B15" s="659" t="s">
        <v>947</v>
      </c>
      <c r="C15" s="663">
        <f t="shared" si="6"/>
        <v>260</v>
      </c>
      <c r="D15" s="852">
        <v>201</v>
      </c>
      <c r="E15" s="661">
        <f t="shared" si="8"/>
        <v>10</v>
      </c>
      <c r="F15" s="661">
        <v>10</v>
      </c>
      <c r="G15" s="661"/>
      <c r="H15" s="661">
        <f t="shared" si="1"/>
        <v>260</v>
      </c>
      <c r="I15" s="661">
        <v>260</v>
      </c>
      <c r="J15" s="661"/>
      <c r="K15" s="661"/>
      <c r="L15" s="661"/>
      <c r="M15" s="661"/>
      <c r="N15" s="661">
        <f t="shared" si="3"/>
        <v>0</v>
      </c>
      <c r="O15" s="947"/>
      <c r="P15" s="947"/>
      <c r="Q15" s="947"/>
      <c r="R15" s="947"/>
      <c r="S15" s="947"/>
      <c r="T15" s="947"/>
      <c r="U15" s="947"/>
      <c r="V15" s="947"/>
      <c r="W15" s="946">
        <f t="shared" si="0"/>
        <v>260</v>
      </c>
      <c r="X15" s="1171"/>
      <c r="Y15" s="1172">
        <v>200</v>
      </c>
      <c r="Z15" s="1173">
        <v>10</v>
      </c>
      <c r="AA15" s="1173">
        <v>0</v>
      </c>
      <c r="AB15" s="1172">
        <f t="shared" si="4"/>
        <v>190</v>
      </c>
      <c r="AC15" s="1172"/>
      <c r="AD15" s="1172">
        <f t="shared" si="5"/>
        <v>0</v>
      </c>
      <c r="AF15" s="1175"/>
    </row>
    <row r="16" spans="1:34" ht="20.100000000000001" hidden="1" customHeight="1">
      <c r="A16" s="826" t="s">
        <v>862</v>
      </c>
      <c r="B16" s="659" t="s">
        <v>948</v>
      </c>
      <c r="C16" s="663">
        <f t="shared" si="6"/>
        <v>1150</v>
      </c>
      <c r="D16" s="852"/>
      <c r="E16" s="661">
        <f t="shared" si="8"/>
        <v>0</v>
      </c>
      <c r="F16" s="661"/>
      <c r="G16" s="661"/>
      <c r="H16" s="661">
        <f t="shared" si="1"/>
        <v>0</v>
      </c>
      <c r="I16" s="661"/>
      <c r="J16" s="661"/>
      <c r="K16" s="661">
        <f>L16+M16</f>
        <v>0</v>
      </c>
      <c r="L16" s="661">
        <v>0</v>
      </c>
      <c r="M16" s="661"/>
      <c r="N16" s="661">
        <f t="shared" si="3"/>
        <v>420</v>
      </c>
      <c r="O16" s="947">
        <v>420</v>
      </c>
      <c r="P16" s="947"/>
      <c r="Q16" s="947">
        <f>R16</f>
        <v>730</v>
      </c>
      <c r="R16" s="947">
        <v>730</v>
      </c>
      <c r="S16" s="947"/>
      <c r="T16" s="947"/>
      <c r="U16" s="947"/>
      <c r="V16" s="947"/>
      <c r="W16" s="946">
        <f t="shared" si="0"/>
        <v>1150</v>
      </c>
      <c r="X16" s="1171"/>
      <c r="AB16" s="1172">
        <f t="shared" si="4"/>
        <v>0</v>
      </c>
      <c r="AC16" s="1172"/>
      <c r="AD16" s="1172">
        <f t="shared" si="5"/>
        <v>0</v>
      </c>
      <c r="AF16" s="1175"/>
    </row>
    <row r="17" spans="1:32" ht="20.100000000000001" hidden="1" customHeight="1">
      <c r="A17" s="826" t="s">
        <v>863</v>
      </c>
      <c r="B17" s="659" t="s">
        <v>949</v>
      </c>
      <c r="C17" s="663">
        <f t="shared" si="6"/>
        <v>1570</v>
      </c>
      <c r="D17" s="852"/>
      <c r="E17" s="661"/>
      <c r="F17" s="661"/>
      <c r="G17" s="661"/>
      <c r="H17" s="661"/>
      <c r="I17" s="661"/>
      <c r="J17" s="661"/>
      <c r="K17" s="661">
        <f>L17+M17</f>
        <v>420</v>
      </c>
      <c r="L17" s="661">
        <v>420</v>
      </c>
      <c r="M17" s="661"/>
      <c r="N17" s="661">
        <f t="shared" ref="N17:N23" si="9">O17+P17</f>
        <v>630</v>
      </c>
      <c r="O17" s="947">
        <v>630</v>
      </c>
      <c r="P17" s="947"/>
      <c r="Q17" s="947">
        <f>R17+S17</f>
        <v>520</v>
      </c>
      <c r="R17" s="947">
        <v>520</v>
      </c>
      <c r="S17" s="947"/>
      <c r="T17" s="947"/>
      <c r="U17" s="947"/>
      <c r="V17" s="947"/>
      <c r="W17" s="946">
        <f t="shared" si="0"/>
        <v>1570</v>
      </c>
      <c r="X17" s="1171"/>
      <c r="AB17" s="1172">
        <f t="shared" si="4"/>
        <v>0</v>
      </c>
      <c r="AC17" s="1172"/>
      <c r="AD17" s="1172">
        <f t="shared" si="5"/>
        <v>0</v>
      </c>
      <c r="AF17" s="1175"/>
    </row>
    <row r="18" spans="1:32" ht="20.100000000000001" hidden="1" customHeight="1">
      <c r="A18" s="826" t="s">
        <v>864</v>
      </c>
      <c r="B18" s="659" t="s">
        <v>950</v>
      </c>
      <c r="C18" s="663">
        <f t="shared" si="6"/>
        <v>1290</v>
      </c>
      <c r="D18" s="852">
        <v>613</v>
      </c>
      <c r="E18" s="661">
        <f t="shared" si="8"/>
        <v>100</v>
      </c>
      <c r="F18" s="661">
        <v>100</v>
      </c>
      <c r="G18" s="661"/>
      <c r="H18" s="661">
        <f t="shared" ref="H18:H24" si="10">I18+J18</f>
        <v>1290</v>
      </c>
      <c r="I18" s="661">
        <v>1290</v>
      </c>
      <c r="J18" s="661"/>
      <c r="K18" s="661">
        <f>L18+M18</f>
        <v>0</v>
      </c>
      <c r="L18" s="661"/>
      <c r="M18" s="661"/>
      <c r="N18" s="661">
        <f t="shared" si="9"/>
        <v>0</v>
      </c>
      <c r="O18" s="947"/>
      <c r="P18" s="947"/>
      <c r="Q18" s="947"/>
      <c r="R18" s="947"/>
      <c r="S18" s="947"/>
      <c r="T18" s="947"/>
      <c r="U18" s="947"/>
      <c r="V18" s="947"/>
      <c r="W18" s="946">
        <f t="shared" si="0"/>
        <v>1290</v>
      </c>
      <c r="X18" s="1171"/>
      <c r="Y18" s="1172">
        <v>500</v>
      </c>
      <c r="Z18" s="1173">
        <v>100</v>
      </c>
      <c r="AA18" s="1173">
        <v>300</v>
      </c>
      <c r="AB18" s="1172">
        <f t="shared" si="4"/>
        <v>100</v>
      </c>
      <c r="AC18" s="1172"/>
      <c r="AD18" s="1172">
        <f t="shared" si="5"/>
        <v>0</v>
      </c>
      <c r="AF18" s="1175"/>
    </row>
    <row r="19" spans="1:32" ht="20.100000000000001" hidden="1" customHeight="1">
      <c r="A19" s="826" t="s">
        <v>865</v>
      </c>
      <c r="B19" s="659" t="s">
        <v>951</v>
      </c>
      <c r="C19" s="663">
        <f t="shared" si="6"/>
        <v>370</v>
      </c>
      <c r="D19" s="852"/>
      <c r="E19" s="661">
        <f t="shared" si="8"/>
        <v>0</v>
      </c>
      <c r="F19" s="661"/>
      <c r="G19" s="661"/>
      <c r="H19" s="661">
        <f t="shared" si="10"/>
        <v>0</v>
      </c>
      <c r="I19" s="661"/>
      <c r="J19" s="661"/>
      <c r="K19" s="661">
        <f>L19+M19</f>
        <v>370</v>
      </c>
      <c r="L19" s="661">
        <v>370</v>
      </c>
      <c r="M19" s="661"/>
      <c r="N19" s="661">
        <f t="shared" si="9"/>
        <v>0</v>
      </c>
      <c r="O19" s="947"/>
      <c r="P19" s="947"/>
      <c r="Q19" s="947"/>
      <c r="R19" s="947"/>
      <c r="S19" s="947"/>
      <c r="T19" s="947"/>
      <c r="U19" s="947"/>
      <c r="V19" s="947"/>
      <c r="W19" s="946">
        <f t="shared" si="0"/>
        <v>370</v>
      </c>
      <c r="X19" s="1171"/>
      <c r="AB19" s="1172">
        <f t="shared" si="4"/>
        <v>0</v>
      </c>
      <c r="AC19" s="1172"/>
      <c r="AD19" s="1172">
        <f t="shared" si="5"/>
        <v>0</v>
      </c>
      <c r="AF19" s="1175"/>
    </row>
    <row r="20" spans="1:32" ht="20.100000000000001" hidden="1" customHeight="1">
      <c r="A20" s="826" t="s">
        <v>866</v>
      </c>
      <c r="B20" s="659" t="s">
        <v>952</v>
      </c>
      <c r="C20" s="663">
        <f t="shared" si="6"/>
        <v>220</v>
      </c>
      <c r="D20" s="852"/>
      <c r="E20" s="661">
        <f>F20+G20</f>
        <v>0</v>
      </c>
      <c r="F20" s="661"/>
      <c r="G20" s="661"/>
      <c r="H20" s="661">
        <f t="shared" si="10"/>
        <v>0</v>
      </c>
      <c r="I20" s="661">
        <v>0</v>
      </c>
      <c r="J20" s="661"/>
      <c r="K20" s="661">
        <f t="shared" si="2"/>
        <v>220</v>
      </c>
      <c r="L20" s="661">
        <v>220</v>
      </c>
      <c r="M20" s="661"/>
      <c r="N20" s="661">
        <f t="shared" si="9"/>
        <v>0</v>
      </c>
      <c r="O20" s="947"/>
      <c r="P20" s="947"/>
      <c r="Q20" s="947"/>
      <c r="R20" s="947"/>
      <c r="S20" s="947"/>
      <c r="T20" s="947"/>
      <c r="U20" s="947"/>
      <c r="V20" s="947"/>
      <c r="W20" s="946">
        <f t="shared" si="0"/>
        <v>220</v>
      </c>
      <c r="X20" s="1171"/>
      <c r="AB20" s="1172">
        <f t="shared" si="4"/>
        <v>0</v>
      </c>
      <c r="AC20" s="1172"/>
      <c r="AD20" s="1172">
        <f t="shared" si="5"/>
        <v>0</v>
      </c>
      <c r="AF20" s="1175"/>
    </row>
    <row r="21" spans="1:32" ht="21.95" hidden="1" customHeight="1" outlineLevel="1">
      <c r="A21" s="826"/>
      <c r="B21" s="659"/>
      <c r="C21" s="663">
        <f t="shared" si="6"/>
        <v>0</v>
      </c>
      <c r="D21" s="852">
        <f>'[4]wykoanie 2018 dp spr. Zarządu'!$W$23</f>
        <v>28</v>
      </c>
      <c r="E21" s="661">
        <f t="shared" ref="E21" si="11">F21+G21</f>
        <v>380</v>
      </c>
      <c r="F21" s="661">
        <v>380</v>
      </c>
      <c r="G21" s="661"/>
      <c r="H21" s="661">
        <f t="shared" si="10"/>
        <v>0</v>
      </c>
      <c r="I21" s="661"/>
      <c r="J21" s="661"/>
      <c r="K21" s="661">
        <f t="shared" si="2"/>
        <v>0</v>
      </c>
      <c r="L21" s="661"/>
      <c r="M21" s="661"/>
      <c r="N21" s="661">
        <f t="shared" si="9"/>
        <v>0</v>
      </c>
      <c r="O21" s="947"/>
      <c r="P21" s="947"/>
      <c r="Q21" s="947"/>
      <c r="R21" s="947"/>
      <c r="S21" s="947"/>
      <c r="T21" s="947"/>
      <c r="U21" s="947"/>
      <c r="V21" s="947"/>
      <c r="W21" s="946">
        <f t="shared" si="0"/>
        <v>0</v>
      </c>
      <c r="X21" s="1171"/>
      <c r="Y21" s="1172">
        <v>380</v>
      </c>
      <c r="Z21" s="1173">
        <v>380</v>
      </c>
      <c r="AA21" s="1173">
        <v>0</v>
      </c>
      <c r="AB21" s="1172">
        <f t="shared" si="4"/>
        <v>0</v>
      </c>
      <c r="AC21" s="1172"/>
      <c r="AD21" s="1172">
        <f t="shared" si="5"/>
        <v>0</v>
      </c>
      <c r="AF21" s="1175"/>
    </row>
    <row r="22" spans="1:32" ht="20.100000000000001" hidden="1" customHeight="1" collapsed="1">
      <c r="A22" s="826" t="s">
        <v>867</v>
      </c>
      <c r="B22" s="659" t="s">
        <v>899</v>
      </c>
      <c r="C22" s="663">
        <f t="shared" si="6"/>
        <v>270</v>
      </c>
      <c r="D22" s="852"/>
      <c r="E22" s="661"/>
      <c r="F22" s="661"/>
      <c r="G22" s="661"/>
      <c r="H22" s="661">
        <f t="shared" si="10"/>
        <v>0</v>
      </c>
      <c r="I22" s="661"/>
      <c r="J22" s="661"/>
      <c r="K22" s="661">
        <f t="shared" si="2"/>
        <v>0</v>
      </c>
      <c r="L22" s="661">
        <f>250*0</f>
        <v>0</v>
      </c>
      <c r="M22" s="661"/>
      <c r="N22" s="661">
        <f t="shared" si="9"/>
        <v>270</v>
      </c>
      <c r="O22" s="947">
        <v>270</v>
      </c>
      <c r="P22" s="947"/>
      <c r="Q22" s="947"/>
      <c r="R22" s="947"/>
      <c r="S22" s="947"/>
      <c r="T22" s="947"/>
      <c r="U22" s="947"/>
      <c r="V22" s="947"/>
      <c r="W22" s="946">
        <f t="shared" si="0"/>
        <v>270</v>
      </c>
      <c r="X22" s="1171"/>
      <c r="AB22" s="1172">
        <f t="shared" si="4"/>
        <v>0</v>
      </c>
      <c r="AC22" s="1172"/>
      <c r="AD22" s="1172">
        <f t="shared" si="5"/>
        <v>0</v>
      </c>
      <c r="AF22" s="1175"/>
    </row>
    <row r="23" spans="1:32" ht="20.100000000000001" hidden="1" customHeight="1">
      <c r="A23" s="826" t="s">
        <v>868</v>
      </c>
      <c r="B23" s="1178" t="s">
        <v>900</v>
      </c>
      <c r="C23" s="663">
        <f t="shared" si="6"/>
        <v>850</v>
      </c>
      <c r="D23" s="852"/>
      <c r="E23" s="661"/>
      <c r="F23" s="661"/>
      <c r="G23" s="661"/>
      <c r="H23" s="661">
        <f t="shared" si="10"/>
        <v>0</v>
      </c>
      <c r="I23" s="661"/>
      <c r="J23" s="661"/>
      <c r="K23" s="661">
        <f t="shared" si="2"/>
        <v>0</v>
      </c>
      <c r="L23" s="661">
        <v>0</v>
      </c>
      <c r="M23" s="661"/>
      <c r="N23" s="661">
        <f t="shared" si="9"/>
        <v>0</v>
      </c>
      <c r="O23" s="947">
        <v>0</v>
      </c>
      <c r="P23" s="947"/>
      <c r="Q23" s="947">
        <f>R23+S23</f>
        <v>0</v>
      </c>
      <c r="R23" s="947"/>
      <c r="S23" s="947"/>
      <c r="T23" s="947">
        <f>U23+V23</f>
        <v>850</v>
      </c>
      <c r="U23" s="947">
        <v>850</v>
      </c>
      <c r="V23" s="947"/>
      <c r="W23" s="946">
        <f t="shared" si="0"/>
        <v>850</v>
      </c>
      <c r="X23" s="1171"/>
      <c r="AB23" s="1172">
        <f t="shared" si="4"/>
        <v>0</v>
      </c>
      <c r="AC23" s="1172"/>
      <c r="AD23" s="1172">
        <f t="shared" si="5"/>
        <v>0</v>
      </c>
      <c r="AF23" s="1175"/>
    </row>
    <row r="24" spans="1:32" ht="20.100000000000001" hidden="1" customHeight="1">
      <c r="A24" s="826" t="s">
        <v>869</v>
      </c>
      <c r="B24" s="1178" t="s">
        <v>953</v>
      </c>
      <c r="C24" s="663">
        <f t="shared" si="6"/>
        <v>720</v>
      </c>
      <c r="D24" s="852"/>
      <c r="E24" s="661">
        <f>F24+G24</f>
        <v>0</v>
      </c>
      <c r="F24" s="661"/>
      <c r="G24" s="661"/>
      <c r="H24" s="661">
        <f t="shared" si="10"/>
        <v>220</v>
      </c>
      <c r="I24" s="661">
        <v>220</v>
      </c>
      <c r="J24" s="661"/>
      <c r="K24" s="661">
        <f t="shared" ref="K24" si="12">L24+M24</f>
        <v>500</v>
      </c>
      <c r="L24" s="661">
        <v>500</v>
      </c>
      <c r="M24" s="661"/>
      <c r="N24" s="661"/>
      <c r="O24" s="947"/>
      <c r="P24" s="947"/>
      <c r="Q24" s="947"/>
      <c r="R24" s="947"/>
      <c r="S24" s="947"/>
      <c r="T24" s="947"/>
      <c r="U24" s="947"/>
      <c r="V24" s="947"/>
      <c r="W24" s="946">
        <f t="shared" si="0"/>
        <v>720</v>
      </c>
      <c r="X24" s="1171"/>
      <c r="AB24" s="1172">
        <f t="shared" si="4"/>
        <v>0</v>
      </c>
      <c r="AC24" s="1172"/>
      <c r="AD24" s="1172">
        <f t="shared" si="5"/>
        <v>0</v>
      </c>
      <c r="AF24" s="1175"/>
    </row>
    <row r="25" spans="1:32" ht="20.100000000000001" hidden="1" customHeight="1">
      <c r="A25" s="826" t="s">
        <v>870</v>
      </c>
      <c r="B25" s="1179" t="s">
        <v>954</v>
      </c>
      <c r="C25" s="663">
        <f t="shared" si="6"/>
        <v>420</v>
      </c>
      <c r="D25" s="852"/>
      <c r="E25" s="661"/>
      <c r="F25" s="661"/>
      <c r="G25" s="661"/>
      <c r="H25" s="661">
        <f>I25+J25</f>
        <v>0</v>
      </c>
      <c r="I25" s="661">
        <f>200*0</f>
        <v>0</v>
      </c>
      <c r="J25" s="661"/>
      <c r="K25" s="661">
        <f t="shared" si="2"/>
        <v>420</v>
      </c>
      <c r="L25" s="661">
        <v>420</v>
      </c>
      <c r="M25" s="661"/>
      <c r="N25" s="661"/>
      <c r="O25" s="947"/>
      <c r="P25" s="947"/>
      <c r="Q25" s="947"/>
      <c r="R25" s="947"/>
      <c r="S25" s="947"/>
      <c r="T25" s="947"/>
      <c r="U25" s="947"/>
      <c r="V25" s="947"/>
      <c r="W25" s="946">
        <f t="shared" si="0"/>
        <v>420</v>
      </c>
      <c r="X25" s="1171"/>
      <c r="AB25" s="1172">
        <f t="shared" si="4"/>
        <v>0</v>
      </c>
      <c r="AC25" s="1172"/>
      <c r="AD25" s="1172">
        <f t="shared" si="5"/>
        <v>0</v>
      </c>
      <c r="AF25" s="1175"/>
    </row>
    <row r="26" spans="1:32" ht="27.75" hidden="1" customHeight="1">
      <c r="A26" s="826" t="s">
        <v>871</v>
      </c>
      <c r="B26" s="1180" t="s">
        <v>901</v>
      </c>
      <c r="C26" s="663">
        <f t="shared" si="6"/>
        <v>600</v>
      </c>
      <c r="D26" s="852"/>
      <c r="E26" s="661">
        <f>F26+G26</f>
        <v>100</v>
      </c>
      <c r="F26" s="661">
        <v>100</v>
      </c>
      <c r="G26" s="661"/>
      <c r="H26" s="661">
        <f t="shared" ref="H26" si="13">I26+J26</f>
        <v>0</v>
      </c>
      <c r="I26" s="661"/>
      <c r="J26" s="661"/>
      <c r="K26" s="661">
        <f t="shared" ref="K26" si="14">L26+M26</f>
        <v>0</v>
      </c>
      <c r="L26" s="661"/>
      <c r="M26" s="661"/>
      <c r="N26" s="661">
        <f>O26+P26</f>
        <v>0</v>
      </c>
      <c r="O26" s="947">
        <v>0</v>
      </c>
      <c r="P26" s="947"/>
      <c r="Q26" s="947">
        <f>R26+S26</f>
        <v>600</v>
      </c>
      <c r="R26" s="947">
        <v>600</v>
      </c>
      <c r="S26" s="947"/>
      <c r="T26" s="947"/>
      <c r="U26" s="947"/>
      <c r="V26" s="947"/>
      <c r="W26" s="946">
        <f t="shared" si="0"/>
        <v>600</v>
      </c>
      <c r="X26" s="1171"/>
      <c r="Y26" s="1172">
        <v>100</v>
      </c>
      <c r="Z26" s="1173">
        <v>100</v>
      </c>
      <c r="AA26" s="1173">
        <v>0</v>
      </c>
      <c r="AB26" s="1172">
        <f t="shared" si="4"/>
        <v>0</v>
      </c>
      <c r="AC26" s="1172"/>
      <c r="AD26" s="1172">
        <f t="shared" si="5"/>
        <v>0</v>
      </c>
      <c r="AF26" s="1175"/>
    </row>
    <row r="27" spans="1:32" ht="39.75" hidden="1" customHeight="1">
      <c r="A27" s="826" t="s">
        <v>872</v>
      </c>
      <c r="B27" s="1178" t="s">
        <v>955</v>
      </c>
      <c r="C27" s="663">
        <f t="shared" si="6"/>
        <v>2640</v>
      </c>
      <c r="D27" s="852">
        <v>113</v>
      </c>
      <c r="E27" s="661">
        <f>F27+G27</f>
        <v>100</v>
      </c>
      <c r="F27" s="661">
        <v>100</v>
      </c>
      <c r="G27" s="661"/>
      <c r="H27" s="661">
        <f>I27+J27</f>
        <v>830</v>
      </c>
      <c r="I27" s="661">
        <v>830</v>
      </c>
      <c r="J27" s="661"/>
      <c r="K27" s="661">
        <f>L27+M27</f>
        <v>530</v>
      </c>
      <c r="L27" s="661">
        <v>530</v>
      </c>
      <c r="M27" s="661"/>
      <c r="N27" s="661">
        <f>O27</f>
        <v>420</v>
      </c>
      <c r="O27" s="947">
        <v>420</v>
      </c>
      <c r="P27" s="947"/>
      <c r="Q27" s="947">
        <f>R27</f>
        <v>420</v>
      </c>
      <c r="R27" s="947">
        <v>420</v>
      </c>
      <c r="S27" s="947"/>
      <c r="T27" s="947">
        <f>U27+V27</f>
        <v>440</v>
      </c>
      <c r="U27" s="947">
        <v>440</v>
      </c>
      <c r="V27" s="947"/>
      <c r="W27" s="946">
        <f t="shared" si="0"/>
        <v>2640</v>
      </c>
      <c r="X27" s="1171"/>
      <c r="Y27" s="1172">
        <v>550</v>
      </c>
      <c r="Z27" s="1173">
        <v>100</v>
      </c>
      <c r="AA27" s="1173">
        <v>0</v>
      </c>
      <c r="AB27" s="1172">
        <f t="shared" si="4"/>
        <v>450</v>
      </c>
      <c r="AC27" s="1172"/>
      <c r="AD27" s="1172">
        <f t="shared" si="5"/>
        <v>0</v>
      </c>
      <c r="AF27" s="1175"/>
    </row>
    <row r="28" spans="1:32" ht="20.100000000000001" hidden="1" customHeight="1">
      <c r="A28" s="826" t="s">
        <v>873</v>
      </c>
      <c r="B28" s="1178" t="s">
        <v>902</v>
      </c>
      <c r="C28" s="663">
        <f t="shared" si="6"/>
        <v>100</v>
      </c>
      <c r="D28" s="852"/>
      <c r="E28" s="661">
        <f>F28+G28</f>
        <v>0</v>
      </c>
      <c r="F28" s="661">
        <v>0</v>
      </c>
      <c r="G28" s="661"/>
      <c r="H28" s="661">
        <f t="shared" ref="H28:H48" si="15">I28+J28</f>
        <v>100</v>
      </c>
      <c r="I28" s="661">
        <v>100</v>
      </c>
      <c r="J28" s="661"/>
      <c r="K28" s="661">
        <f t="shared" ref="K28:K39" si="16">L28+M28</f>
        <v>0</v>
      </c>
      <c r="L28" s="661"/>
      <c r="M28" s="661"/>
      <c r="N28" s="661"/>
      <c r="O28" s="947"/>
      <c r="P28" s="947"/>
      <c r="Q28" s="947"/>
      <c r="R28" s="947"/>
      <c r="S28" s="947"/>
      <c r="T28" s="947"/>
      <c r="U28" s="947"/>
      <c r="V28" s="947"/>
      <c r="W28" s="946">
        <f t="shared" si="0"/>
        <v>100</v>
      </c>
      <c r="X28" s="1171"/>
      <c r="Y28" s="1172">
        <v>200</v>
      </c>
      <c r="Z28" s="1173">
        <v>0</v>
      </c>
      <c r="AA28" s="1173">
        <v>50</v>
      </c>
      <c r="AB28" s="1172">
        <f t="shared" si="4"/>
        <v>150</v>
      </c>
      <c r="AC28" s="1172"/>
      <c r="AD28" s="1172">
        <f t="shared" si="5"/>
        <v>0</v>
      </c>
      <c r="AF28" s="1175"/>
    </row>
    <row r="29" spans="1:32" ht="23.25" hidden="1" customHeight="1" outlineLevel="1">
      <c r="A29" s="826"/>
      <c r="B29" s="1178"/>
      <c r="C29" s="663">
        <f t="shared" si="6"/>
        <v>0</v>
      </c>
      <c r="D29" s="852"/>
      <c r="E29" s="661">
        <f t="shared" ref="E29:E36" si="17">F29+G29</f>
        <v>100</v>
      </c>
      <c r="F29" s="661">
        <v>100</v>
      </c>
      <c r="G29" s="661"/>
      <c r="H29" s="661">
        <f t="shared" si="15"/>
        <v>0</v>
      </c>
      <c r="I29" s="661"/>
      <c r="J29" s="661"/>
      <c r="K29" s="661">
        <f t="shared" si="16"/>
        <v>0</v>
      </c>
      <c r="L29" s="661"/>
      <c r="M29" s="661"/>
      <c r="N29" s="661">
        <f t="shared" ref="N29:N39" si="18">O29+P29</f>
        <v>0</v>
      </c>
      <c r="O29" s="947"/>
      <c r="P29" s="947"/>
      <c r="Q29" s="947"/>
      <c r="R29" s="947"/>
      <c r="S29" s="947"/>
      <c r="T29" s="947"/>
      <c r="U29" s="947"/>
      <c r="V29" s="947"/>
      <c r="W29" s="946">
        <f t="shared" si="0"/>
        <v>0</v>
      </c>
      <c r="X29" s="1171"/>
      <c r="Y29" s="1172">
        <v>100</v>
      </c>
      <c r="Z29" s="1173">
        <v>100</v>
      </c>
      <c r="AA29" s="1173">
        <v>0</v>
      </c>
      <c r="AB29" s="1172">
        <f t="shared" si="4"/>
        <v>0</v>
      </c>
      <c r="AC29" s="1172">
        <f t="shared" ref="AC29:AC79" si="19">Y29-Z29-AA29</f>
        <v>0</v>
      </c>
      <c r="AD29" s="1172">
        <f t="shared" si="5"/>
        <v>0</v>
      </c>
      <c r="AF29" s="1175"/>
    </row>
    <row r="30" spans="1:32" ht="20.100000000000001" hidden="1" customHeight="1" collapsed="1">
      <c r="A30" s="826" t="s">
        <v>874</v>
      </c>
      <c r="B30" s="1178" t="s">
        <v>903</v>
      </c>
      <c r="C30" s="663">
        <f t="shared" si="6"/>
        <v>300</v>
      </c>
      <c r="D30" s="852"/>
      <c r="E30" s="661">
        <f t="shared" si="17"/>
        <v>0</v>
      </c>
      <c r="F30" s="661"/>
      <c r="G30" s="661"/>
      <c r="H30" s="661">
        <f t="shared" si="15"/>
        <v>0</v>
      </c>
      <c r="I30" s="661"/>
      <c r="J30" s="661"/>
      <c r="K30" s="661">
        <f t="shared" si="16"/>
        <v>0</v>
      </c>
      <c r="L30" s="661"/>
      <c r="M30" s="661"/>
      <c r="N30" s="661">
        <f t="shared" si="18"/>
        <v>300</v>
      </c>
      <c r="O30" s="947">
        <v>300</v>
      </c>
      <c r="P30" s="947"/>
      <c r="Q30" s="947"/>
      <c r="R30" s="947"/>
      <c r="S30" s="947"/>
      <c r="T30" s="947"/>
      <c r="U30" s="947"/>
      <c r="V30" s="947"/>
      <c r="W30" s="946">
        <f t="shared" si="0"/>
        <v>300</v>
      </c>
      <c r="X30" s="1171"/>
      <c r="AB30" s="1172">
        <f t="shared" si="4"/>
        <v>0</v>
      </c>
      <c r="AC30" s="1172">
        <f t="shared" si="19"/>
        <v>0</v>
      </c>
      <c r="AD30" s="1172">
        <f t="shared" si="5"/>
        <v>0</v>
      </c>
      <c r="AF30" s="1175"/>
    </row>
    <row r="31" spans="1:32" ht="23.25" hidden="1" customHeight="1" outlineLevel="1">
      <c r="A31" s="826"/>
      <c r="B31" s="1178"/>
      <c r="C31" s="663">
        <f t="shared" si="6"/>
        <v>0</v>
      </c>
      <c r="D31" s="852"/>
      <c r="E31" s="661">
        <f t="shared" si="17"/>
        <v>0</v>
      </c>
      <c r="F31" s="661"/>
      <c r="G31" s="661"/>
      <c r="H31" s="661">
        <f t="shared" si="15"/>
        <v>0</v>
      </c>
      <c r="I31" s="661"/>
      <c r="J31" s="661"/>
      <c r="K31" s="661">
        <f t="shared" si="16"/>
        <v>0</v>
      </c>
      <c r="L31" s="661"/>
      <c r="M31" s="661"/>
      <c r="N31" s="661">
        <f t="shared" si="18"/>
        <v>0</v>
      </c>
      <c r="O31" s="947"/>
      <c r="P31" s="947"/>
      <c r="Q31" s="947"/>
      <c r="R31" s="947"/>
      <c r="S31" s="947"/>
      <c r="T31" s="947"/>
      <c r="U31" s="947"/>
      <c r="V31" s="947"/>
      <c r="W31" s="946">
        <f t="shared" ref="W31:W85" si="20">C31</f>
        <v>0</v>
      </c>
      <c r="X31" s="1171"/>
      <c r="AB31" s="1172">
        <f t="shared" si="4"/>
        <v>0</v>
      </c>
      <c r="AC31" s="1172">
        <f t="shared" si="19"/>
        <v>0</v>
      </c>
      <c r="AD31" s="1172">
        <f t="shared" si="5"/>
        <v>0</v>
      </c>
      <c r="AF31" s="1175"/>
    </row>
    <row r="32" spans="1:32" ht="20.100000000000001" hidden="1" customHeight="1" collapsed="1">
      <c r="A32" s="826" t="s">
        <v>875</v>
      </c>
      <c r="B32" s="1178" t="s">
        <v>904</v>
      </c>
      <c r="C32" s="663">
        <f t="shared" si="6"/>
        <v>320</v>
      </c>
      <c r="D32" s="852"/>
      <c r="E32" s="661">
        <f t="shared" si="17"/>
        <v>0</v>
      </c>
      <c r="F32" s="661"/>
      <c r="G32" s="661"/>
      <c r="H32" s="661">
        <f t="shared" si="15"/>
        <v>0</v>
      </c>
      <c r="I32" s="661"/>
      <c r="J32" s="661"/>
      <c r="K32" s="661">
        <f t="shared" si="16"/>
        <v>320</v>
      </c>
      <c r="L32" s="661">
        <v>320</v>
      </c>
      <c r="M32" s="661"/>
      <c r="N32" s="661">
        <f t="shared" si="18"/>
        <v>0</v>
      </c>
      <c r="O32" s="947"/>
      <c r="P32" s="947"/>
      <c r="Q32" s="947"/>
      <c r="R32" s="947"/>
      <c r="S32" s="947"/>
      <c r="T32" s="947"/>
      <c r="U32" s="947"/>
      <c r="V32" s="947"/>
      <c r="W32" s="946">
        <f t="shared" si="20"/>
        <v>320</v>
      </c>
      <c r="X32" s="1171"/>
      <c r="AB32" s="1172">
        <f t="shared" si="4"/>
        <v>0</v>
      </c>
      <c r="AC32" s="1172">
        <f t="shared" si="19"/>
        <v>0</v>
      </c>
      <c r="AD32" s="1172">
        <f t="shared" si="5"/>
        <v>0</v>
      </c>
      <c r="AF32" s="1175"/>
    </row>
    <row r="33" spans="1:32" ht="20.100000000000001" hidden="1" customHeight="1">
      <c r="A33" s="826" t="s">
        <v>876</v>
      </c>
      <c r="B33" s="1178" t="s">
        <v>905</v>
      </c>
      <c r="C33" s="663">
        <f t="shared" si="6"/>
        <v>950</v>
      </c>
      <c r="D33" s="852">
        <v>146</v>
      </c>
      <c r="E33" s="661">
        <f t="shared" si="17"/>
        <v>280</v>
      </c>
      <c r="F33" s="661">
        <v>280</v>
      </c>
      <c r="G33" s="661"/>
      <c r="H33" s="661">
        <f t="shared" si="15"/>
        <v>420</v>
      </c>
      <c r="I33" s="661">
        <v>420</v>
      </c>
      <c r="J33" s="661"/>
      <c r="K33" s="661">
        <f t="shared" si="16"/>
        <v>530</v>
      </c>
      <c r="L33" s="661">
        <v>530</v>
      </c>
      <c r="M33" s="661"/>
      <c r="N33" s="661">
        <f t="shared" si="18"/>
        <v>0</v>
      </c>
      <c r="O33" s="947"/>
      <c r="P33" s="947"/>
      <c r="Q33" s="947"/>
      <c r="R33" s="947"/>
      <c r="S33" s="947"/>
      <c r="T33" s="947"/>
      <c r="U33" s="947"/>
      <c r="V33" s="947"/>
      <c r="W33" s="946">
        <f t="shared" si="20"/>
        <v>950</v>
      </c>
      <c r="X33" s="1171"/>
      <c r="Y33" s="1172">
        <v>500</v>
      </c>
      <c r="Z33" s="1173">
        <v>80</v>
      </c>
      <c r="AA33" s="1173">
        <f>150/2</f>
        <v>75</v>
      </c>
      <c r="AB33" s="1172">
        <f t="shared" si="4"/>
        <v>345</v>
      </c>
      <c r="AC33" s="1172"/>
      <c r="AD33" s="1172">
        <f t="shared" si="5"/>
        <v>200</v>
      </c>
      <c r="AF33" s="1175"/>
    </row>
    <row r="34" spans="1:32" ht="23.25" hidden="1" customHeight="1" outlineLevel="1">
      <c r="A34" s="826"/>
      <c r="B34" s="1178"/>
      <c r="C34" s="663">
        <f t="shared" si="6"/>
        <v>0</v>
      </c>
      <c r="D34" s="852"/>
      <c r="E34" s="661">
        <f t="shared" si="17"/>
        <v>320</v>
      </c>
      <c r="F34" s="661">
        <v>320</v>
      </c>
      <c r="G34" s="661"/>
      <c r="H34" s="661">
        <f t="shared" si="15"/>
        <v>0</v>
      </c>
      <c r="I34" s="661"/>
      <c r="J34" s="661"/>
      <c r="K34" s="661">
        <f t="shared" si="16"/>
        <v>0</v>
      </c>
      <c r="L34" s="661"/>
      <c r="M34" s="661"/>
      <c r="N34" s="661">
        <f t="shared" si="18"/>
        <v>0</v>
      </c>
      <c r="O34" s="947"/>
      <c r="P34" s="947"/>
      <c r="Q34" s="947"/>
      <c r="R34" s="947"/>
      <c r="S34" s="947"/>
      <c r="T34" s="947"/>
      <c r="U34" s="947"/>
      <c r="V34" s="947"/>
      <c r="W34" s="946">
        <f t="shared" si="20"/>
        <v>0</v>
      </c>
      <c r="X34" s="1171"/>
      <c r="Y34" s="1172">
        <v>450</v>
      </c>
      <c r="Z34" s="1173">
        <v>320</v>
      </c>
      <c r="AA34" s="1173">
        <v>0</v>
      </c>
      <c r="AB34" s="1172">
        <f t="shared" si="4"/>
        <v>130</v>
      </c>
      <c r="AC34" s="1172"/>
      <c r="AD34" s="1172">
        <f t="shared" si="5"/>
        <v>0</v>
      </c>
      <c r="AF34" s="1175"/>
    </row>
    <row r="35" spans="1:32" ht="23.25" hidden="1" customHeight="1" outlineLevel="1">
      <c r="A35" s="826"/>
      <c r="B35" s="1178"/>
      <c r="C35" s="663">
        <f t="shared" si="6"/>
        <v>0</v>
      </c>
      <c r="D35" s="852"/>
      <c r="E35" s="661">
        <f t="shared" si="17"/>
        <v>75</v>
      </c>
      <c r="F35" s="661">
        <v>75</v>
      </c>
      <c r="G35" s="661"/>
      <c r="H35" s="661">
        <f t="shared" si="15"/>
        <v>0</v>
      </c>
      <c r="I35" s="661"/>
      <c r="J35" s="661"/>
      <c r="K35" s="661">
        <f t="shared" si="16"/>
        <v>0</v>
      </c>
      <c r="L35" s="661"/>
      <c r="M35" s="661"/>
      <c r="N35" s="661">
        <f t="shared" si="18"/>
        <v>0</v>
      </c>
      <c r="O35" s="947"/>
      <c r="P35" s="947"/>
      <c r="Q35" s="947"/>
      <c r="R35" s="947"/>
      <c r="S35" s="947"/>
      <c r="T35" s="947"/>
      <c r="U35" s="947"/>
      <c r="V35" s="947"/>
      <c r="W35" s="946">
        <f t="shared" si="20"/>
        <v>0</v>
      </c>
      <c r="X35" s="1171"/>
      <c r="Y35" s="1172">
        <v>100</v>
      </c>
      <c r="Z35" s="1173">
        <v>75</v>
      </c>
      <c r="AA35" s="1173">
        <v>0</v>
      </c>
      <c r="AB35" s="1172">
        <f t="shared" si="4"/>
        <v>25</v>
      </c>
      <c r="AC35" s="1172"/>
      <c r="AD35" s="1172">
        <f t="shared" si="5"/>
        <v>0</v>
      </c>
      <c r="AF35" s="1175"/>
    </row>
    <row r="36" spans="1:32" ht="20.100000000000001" hidden="1" customHeight="1" collapsed="1">
      <c r="A36" s="826" t="s">
        <v>877</v>
      </c>
      <c r="B36" s="1178" t="s">
        <v>906</v>
      </c>
      <c r="C36" s="663">
        <f t="shared" si="6"/>
        <v>220</v>
      </c>
      <c r="D36" s="852"/>
      <c r="E36" s="661">
        <f t="shared" si="17"/>
        <v>0</v>
      </c>
      <c r="F36" s="661">
        <v>0</v>
      </c>
      <c r="G36" s="661"/>
      <c r="H36" s="661">
        <f t="shared" si="15"/>
        <v>220</v>
      </c>
      <c r="I36" s="661">
        <v>220</v>
      </c>
      <c r="J36" s="661"/>
      <c r="K36" s="661">
        <f t="shared" si="16"/>
        <v>0</v>
      </c>
      <c r="L36" s="661"/>
      <c r="M36" s="661"/>
      <c r="N36" s="661">
        <f t="shared" si="18"/>
        <v>0</v>
      </c>
      <c r="O36" s="947"/>
      <c r="P36" s="947"/>
      <c r="Q36" s="947"/>
      <c r="R36" s="947"/>
      <c r="S36" s="947"/>
      <c r="T36" s="947"/>
      <c r="U36" s="947"/>
      <c r="V36" s="947"/>
      <c r="W36" s="946">
        <f t="shared" si="20"/>
        <v>220</v>
      </c>
      <c r="X36" s="1171"/>
      <c r="Y36" s="1172">
        <v>250</v>
      </c>
      <c r="Z36" s="1173">
        <v>0</v>
      </c>
      <c r="AA36" s="1173">
        <v>100</v>
      </c>
      <c r="AB36" s="1172">
        <f t="shared" si="4"/>
        <v>150</v>
      </c>
      <c r="AC36" s="1172"/>
      <c r="AD36" s="1172">
        <f t="shared" si="5"/>
        <v>0</v>
      </c>
      <c r="AF36" s="1175"/>
    </row>
    <row r="37" spans="1:32" ht="20.100000000000001" hidden="1" customHeight="1">
      <c r="A37" s="826" t="s">
        <v>878</v>
      </c>
      <c r="B37" s="1178" t="s">
        <v>907</v>
      </c>
      <c r="C37" s="663">
        <f t="shared" si="6"/>
        <v>100</v>
      </c>
      <c r="D37" s="852"/>
      <c r="E37" s="661"/>
      <c r="F37" s="661"/>
      <c r="G37" s="661"/>
      <c r="H37" s="661"/>
      <c r="I37" s="661"/>
      <c r="J37" s="661"/>
      <c r="K37" s="661">
        <f t="shared" si="16"/>
        <v>0</v>
      </c>
      <c r="L37" s="661"/>
      <c r="M37" s="661"/>
      <c r="N37" s="661">
        <f t="shared" si="18"/>
        <v>0</v>
      </c>
      <c r="O37" s="947"/>
      <c r="P37" s="947"/>
      <c r="Q37" s="947">
        <f>R37+S37</f>
        <v>100</v>
      </c>
      <c r="R37" s="947">
        <v>100</v>
      </c>
      <c r="S37" s="947"/>
      <c r="T37" s="947"/>
      <c r="U37" s="947"/>
      <c r="V37" s="947"/>
      <c r="W37" s="946">
        <f t="shared" si="20"/>
        <v>100</v>
      </c>
      <c r="X37" s="1171"/>
      <c r="AB37" s="1172">
        <f t="shared" si="4"/>
        <v>0</v>
      </c>
      <c r="AC37" s="1172">
        <f t="shared" si="19"/>
        <v>0</v>
      </c>
      <c r="AD37" s="1172">
        <f t="shared" si="5"/>
        <v>0</v>
      </c>
      <c r="AF37" s="1175"/>
    </row>
    <row r="38" spans="1:32" ht="27.75" hidden="1" customHeight="1">
      <c r="A38" s="826" t="s">
        <v>879</v>
      </c>
      <c r="B38" s="1178" t="s">
        <v>908</v>
      </c>
      <c r="C38" s="663">
        <f t="shared" si="6"/>
        <v>1280</v>
      </c>
      <c r="D38" s="852"/>
      <c r="E38" s="661"/>
      <c r="F38" s="661"/>
      <c r="G38" s="661"/>
      <c r="H38" s="661">
        <f>I38+J38</f>
        <v>320</v>
      </c>
      <c r="I38" s="661">
        <v>320</v>
      </c>
      <c r="J38" s="661"/>
      <c r="K38" s="661">
        <f t="shared" si="16"/>
        <v>320</v>
      </c>
      <c r="L38" s="661">
        <v>320</v>
      </c>
      <c r="M38" s="661"/>
      <c r="N38" s="661">
        <f t="shared" si="18"/>
        <v>0</v>
      </c>
      <c r="O38" s="947">
        <f>1000*0</f>
        <v>0</v>
      </c>
      <c r="P38" s="947"/>
      <c r="Q38" s="947">
        <f>R38+S38</f>
        <v>320</v>
      </c>
      <c r="R38" s="947">
        <v>320</v>
      </c>
      <c r="S38" s="947"/>
      <c r="T38" s="947">
        <f>U38+V38</f>
        <v>320</v>
      </c>
      <c r="U38" s="947">
        <v>320</v>
      </c>
      <c r="V38" s="947"/>
      <c r="W38" s="946">
        <f t="shared" si="20"/>
        <v>1280</v>
      </c>
      <c r="X38" s="1171"/>
      <c r="AB38" s="1172">
        <f t="shared" si="4"/>
        <v>0</v>
      </c>
      <c r="AC38" s="1172">
        <f t="shared" si="19"/>
        <v>0</v>
      </c>
      <c r="AD38" s="1172">
        <f t="shared" si="5"/>
        <v>0</v>
      </c>
      <c r="AF38" s="1175"/>
    </row>
    <row r="39" spans="1:32" ht="34.5" hidden="1" customHeight="1" outlineLevel="1">
      <c r="A39" s="826"/>
      <c r="B39" s="1178" t="s">
        <v>827</v>
      </c>
      <c r="C39" s="663">
        <f t="shared" si="6"/>
        <v>0</v>
      </c>
      <c r="D39" s="852"/>
      <c r="E39" s="661"/>
      <c r="F39" s="661"/>
      <c r="G39" s="661"/>
      <c r="H39" s="661"/>
      <c r="I39" s="661"/>
      <c r="J39" s="661"/>
      <c r="K39" s="661">
        <f t="shared" si="16"/>
        <v>0</v>
      </c>
      <c r="L39" s="661"/>
      <c r="M39" s="661"/>
      <c r="N39" s="661">
        <f t="shared" si="18"/>
        <v>0</v>
      </c>
      <c r="O39" s="947"/>
      <c r="P39" s="947"/>
      <c r="Q39" s="947"/>
      <c r="R39" s="947"/>
      <c r="S39" s="947"/>
      <c r="T39" s="947"/>
      <c r="U39" s="947"/>
      <c r="V39" s="947"/>
      <c r="W39" s="946">
        <f t="shared" si="20"/>
        <v>0</v>
      </c>
      <c r="X39" s="1171"/>
      <c r="AB39" s="1172">
        <f t="shared" si="4"/>
        <v>0</v>
      </c>
      <c r="AC39" s="1172">
        <f t="shared" si="19"/>
        <v>0</v>
      </c>
      <c r="AD39" s="1172">
        <f t="shared" si="5"/>
        <v>0</v>
      </c>
      <c r="AF39" s="1175"/>
    </row>
    <row r="40" spans="1:32" ht="23.25" hidden="1" customHeight="1" outlineLevel="1">
      <c r="A40" s="826"/>
      <c r="B40" s="1178" t="s">
        <v>792</v>
      </c>
      <c r="C40" s="663">
        <f t="shared" si="6"/>
        <v>0</v>
      </c>
      <c r="D40" s="852"/>
      <c r="E40" s="661">
        <f>F40+G40</f>
        <v>40</v>
      </c>
      <c r="F40" s="661">
        <f>40</f>
        <v>40</v>
      </c>
      <c r="G40" s="661"/>
      <c r="H40" s="661"/>
      <c r="I40" s="661"/>
      <c r="J40" s="661"/>
      <c r="K40" s="661"/>
      <c r="L40" s="661"/>
      <c r="M40" s="661"/>
      <c r="N40" s="661"/>
      <c r="O40" s="947"/>
      <c r="P40" s="947"/>
      <c r="Q40" s="947"/>
      <c r="R40" s="947"/>
      <c r="S40" s="947"/>
      <c r="T40" s="947"/>
      <c r="U40" s="947"/>
      <c r="V40" s="947"/>
      <c r="W40" s="946">
        <f t="shared" si="20"/>
        <v>0</v>
      </c>
      <c r="X40" s="1171"/>
      <c r="Y40" s="1172">
        <v>40</v>
      </c>
      <c r="Z40" s="1173">
        <v>40</v>
      </c>
      <c r="AA40" s="1173">
        <v>0</v>
      </c>
      <c r="AB40" s="1172">
        <f t="shared" si="4"/>
        <v>0</v>
      </c>
      <c r="AC40" s="1172">
        <f t="shared" si="19"/>
        <v>0</v>
      </c>
      <c r="AD40" s="1172">
        <f t="shared" si="5"/>
        <v>0</v>
      </c>
      <c r="AF40" s="1175"/>
    </row>
    <row r="41" spans="1:32" ht="23.25" hidden="1" customHeight="1" outlineLevel="1">
      <c r="A41" s="826"/>
      <c r="B41" s="1178" t="s">
        <v>793</v>
      </c>
      <c r="C41" s="663">
        <f t="shared" si="6"/>
        <v>0</v>
      </c>
      <c r="D41" s="852"/>
      <c r="E41" s="661">
        <f>F41+G41</f>
        <v>50</v>
      </c>
      <c r="F41" s="661">
        <v>50</v>
      </c>
      <c r="G41" s="661"/>
      <c r="H41" s="661"/>
      <c r="I41" s="661"/>
      <c r="J41" s="661"/>
      <c r="K41" s="661"/>
      <c r="L41" s="661"/>
      <c r="M41" s="661"/>
      <c r="N41" s="661"/>
      <c r="O41" s="947"/>
      <c r="P41" s="947"/>
      <c r="Q41" s="947"/>
      <c r="R41" s="947"/>
      <c r="S41" s="947"/>
      <c r="T41" s="947"/>
      <c r="U41" s="947"/>
      <c r="V41" s="947"/>
      <c r="W41" s="946">
        <f t="shared" si="20"/>
        <v>0</v>
      </c>
      <c r="X41" s="1171"/>
      <c r="Y41" s="1172">
        <v>50</v>
      </c>
      <c r="Z41" s="1173">
        <v>50</v>
      </c>
      <c r="AA41" s="1173">
        <v>0</v>
      </c>
      <c r="AB41" s="1172">
        <f t="shared" si="4"/>
        <v>0</v>
      </c>
      <c r="AC41" s="1172">
        <f t="shared" si="19"/>
        <v>0</v>
      </c>
      <c r="AD41" s="1172">
        <f t="shared" si="5"/>
        <v>0</v>
      </c>
      <c r="AF41" s="1175"/>
    </row>
    <row r="42" spans="1:32" ht="20.100000000000001" hidden="1" customHeight="1" collapsed="1">
      <c r="A42" s="826" t="s">
        <v>880</v>
      </c>
      <c r="B42" s="1178" t="s">
        <v>909</v>
      </c>
      <c r="C42" s="663">
        <f t="shared" si="6"/>
        <v>130</v>
      </c>
      <c r="D42" s="852"/>
      <c r="E42" s="661"/>
      <c r="F42" s="661"/>
      <c r="G42" s="661"/>
      <c r="H42" s="661">
        <f>I42+J42</f>
        <v>130</v>
      </c>
      <c r="I42" s="661">
        <v>130</v>
      </c>
      <c r="J42" s="661"/>
      <c r="K42" s="661"/>
      <c r="L42" s="661"/>
      <c r="M42" s="661"/>
      <c r="N42" s="661"/>
      <c r="O42" s="947"/>
      <c r="P42" s="947"/>
      <c r="Q42" s="947"/>
      <c r="R42" s="947"/>
      <c r="S42" s="947"/>
      <c r="T42" s="947"/>
      <c r="U42" s="947"/>
      <c r="V42" s="947"/>
      <c r="W42" s="946">
        <f t="shared" si="20"/>
        <v>130</v>
      </c>
      <c r="X42" s="1171"/>
      <c r="AB42" s="1172"/>
      <c r="AC42" s="1172"/>
      <c r="AD42" s="1172"/>
      <c r="AF42" s="1175"/>
    </row>
    <row r="43" spans="1:32" ht="25.5" hidden="1" customHeight="1">
      <c r="A43" s="826" t="s">
        <v>881</v>
      </c>
      <c r="B43" s="1178" t="s">
        <v>910</v>
      </c>
      <c r="C43" s="663">
        <f>H43+K43+N43+Q43+T43</f>
        <v>170</v>
      </c>
      <c r="D43" s="852"/>
      <c r="E43" s="661"/>
      <c r="F43" s="661"/>
      <c r="G43" s="661"/>
      <c r="H43" s="661"/>
      <c r="I43" s="661"/>
      <c r="J43" s="661"/>
      <c r="K43" s="661">
        <f>L43+M43</f>
        <v>170</v>
      </c>
      <c r="L43" s="661">
        <v>170</v>
      </c>
      <c r="M43" s="661"/>
      <c r="N43" s="661"/>
      <c r="O43" s="947"/>
      <c r="P43" s="947"/>
      <c r="Q43" s="947"/>
      <c r="R43" s="947"/>
      <c r="S43" s="947"/>
      <c r="T43" s="947"/>
      <c r="U43" s="947"/>
      <c r="V43" s="947"/>
      <c r="W43" s="946">
        <f t="shared" si="20"/>
        <v>170</v>
      </c>
      <c r="X43" s="1171"/>
      <c r="AB43" s="1172"/>
      <c r="AC43" s="1172"/>
      <c r="AD43" s="1172"/>
      <c r="AF43" s="1175"/>
    </row>
    <row r="44" spans="1:32" ht="20.100000000000001" hidden="1" customHeight="1">
      <c r="A44" s="826" t="s">
        <v>882</v>
      </c>
      <c r="B44" s="1178" t="s">
        <v>911</v>
      </c>
      <c r="C44" s="663">
        <f t="shared" si="6"/>
        <v>220</v>
      </c>
      <c r="D44" s="852"/>
      <c r="E44" s="661"/>
      <c r="F44" s="661"/>
      <c r="G44" s="661"/>
      <c r="H44" s="661">
        <f>I44+J44</f>
        <v>220</v>
      </c>
      <c r="I44" s="661">
        <v>220</v>
      </c>
      <c r="J44" s="661"/>
      <c r="K44" s="661"/>
      <c r="L44" s="661"/>
      <c r="M44" s="661"/>
      <c r="N44" s="661"/>
      <c r="O44" s="947"/>
      <c r="P44" s="947"/>
      <c r="Q44" s="947"/>
      <c r="R44" s="947"/>
      <c r="S44" s="947"/>
      <c r="T44" s="947"/>
      <c r="U44" s="947"/>
      <c r="V44" s="947"/>
      <c r="W44" s="946">
        <f t="shared" si="20"/>
        <v>220</v>
      </c>
      <c r="X44" s="1171"/>
      <c r="AB44" s="1172"/>
      <c r="AC44" s="1172"/>
      <c r="AD44" s="1172"/>
      <c r="AF44" s="1175"/>
    </row>
    <row r="45" spans="1:32" ht="20.100000000000001" hidden="1" customHeight="1">
      <c r="A45" s="826" t="s">
        <v>883</v>
      </c>
      <c r="B45" s="1178" t="s">
        <v>912</v>
      </c>
      <c r="C45" s="663">
        <f t="shared" si="6"/>
        <v>120</v>
      </c>
      <c r="D45" s="852"/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947"/>
      <c r="P45" s="947"/>
      <c r="Q45" s="947">
        <f>R45+S45</f>
        <v>120</v>
      </c>
      <c r="R45" s="947">
        <v>120</v>
      </c>
      <c r="S45" s="947"/>
      <c r="T45" s="947"/>
      <c r="U45" s="947"/>
      <c r="V45" s="947"/>
      <c r="W45" s="946">
        <f t="shared" si="20"/>
        <v>120</v>
      </c>
      <c r="X45" s="1171"/>
      <c r="AB45" s="1172"/>
      <c r="AC45" s="1172"/>
      <c r="AD45" s="1172"/>
      <c r="AF45" s="1175"/>
    </row>
    <row r="46" spans="1:32" ht="20.100000000000001" hidden="1" customHeight="1">
      <c r="A46" s="826" t="s">
        <v>884</v>
      </c>
      <c r="B46" s="1178" t="s">
        <v>913</v>
      </c>
      <c r="C46" s="663">
        <f t="shared" si="6"/>
        <v>35</v>
      </c>
      <c r="D46" s="852"/>
      <c r="E46" s="661"/>
      <c r="F46" s="661"/>
      <c r="G46" s="661"/>
      <c r="H46" s="661"/>
      <c r="I46" s="661"/>
      <c r="J46" s="661"/>
      <c r="K46" s="661"/>
      <c r="L46" s="661"/>
      <c r="M46" s="661"/>
      <c r="N46" s="661">
        <f>O46+P46</f>
        <v>35</v>
      </c>
      <c r="O46" s="947">
        <v>35</v>
      </c>
      <c r="P46" s="947"/>
      <c r="Q46" s="947">
        <f t="shared" ref="Q46:Q47" si="21">R46+S46</f>
        <v>0</v>
      </c>
      <c r="R46" s="947"/>
      <c r="S46" s="947"/>
      <c r="T46" s="947"/>
      <c r="U46" s="947"/>
      <c r="V46" s="947"/>
      <c r="W46" s="946">
        <f t="shared" si="20"/>
        <v>35</v>
      </c>
      <c r="X46" s="1171"/>
      <c r="AB46" s="1172"/>
      <c r="AC46" s="1172"/>
      <c r="AD46" s="1172"/>
      <c r="AF46" s="1175"/>
    </row>
    <row r="47" spans="1:32" ht="20.100000000000001" hidden="1" customHeight="1">
      <c r="A47" s="826" t="s">
        <v>885</v>
      </c>
      <c r="B47" s="1178" t="s">
        <v>914</v>
      </c>
      <c r="C47" s="663">
        <f t="shared" si="6"/>
        <v>320</v>
      </c>
      <c r="D47" s="852"/>
      <c r="E47" s="661"/>
      <c r="F47" s="661"/>
      <c r="G47" s="661"/>
      <c r="H47" s="661"/>
      <c r="I47" s="661"/>
      <c r="J47" s="661"/>
      <c r="K47" s="661"/>
      <c r="L47" s="661"/>
      <c r="M47" s="661"/>
      <c r="N47" s="661">
        <f>O47+P47</f>
        <v>0</v>
      </c>
      <c r="O47" s="947"/>
      <c r="P47" s="947"/>
      <c r="Q47" s="947">
        <f t="shared" si="21"/>
        <v>100</v>
      </c>
      <c r="R47" s="947">
        <v>100</v>
      </c>
      <c r="S47" s="947"/>
      <c r="T47" s="947">
        <f>U47+V47</f>
        <v>220</v>
      </c>
      <c r="U47" s="947">
        <v>220</v>
      </c>
      <c r="V47" s="947"/>
      <c r="W47" s="946">
        <f t="shared" si="20"/>
        <v>320</v>
      </c>
      <c r="X47" s="1171"/>
      <c r="AB47" s="1172"/>
      <c r="AC47" s="1172"/>
      <c r="AD47" s="1172"/>
      <c r="AF47" s="1175"/>
    </row>
    <row r="48" spans="1:32" ht="20.100000000000001" hidden="1" customHeight="1">
      <c r="A48" s="826" t="s">
        <v>886</v>
      </c>
      <c r="B48" s="1178" t="s">
        <v>915</v>
      </c>
      <c r="C48" s="663">
        <f t="shared" si="6"/>
        <v>370</v>
      </c>
      <c r="D48" s="852"/>
      <c r="E48" s="661"/>
      <c r="F48" s="661"/>
      <c r="G48" s="661"/>
      <c r="H48" s="661">
        <f t="shared" si="15"/>
        <v>370</v>
      </c>
      <c r="I48" s="661">
        <v>370</v>
      </c>
      <c r="J48" s="661"/>
      <c r="K48" s="661"/>
      <c r="L48" s="661"/>
      <c r="M48" s="661"/>
      <c r="N48" s="661"/>
      <c r="O48" s="947"/>
      <c r="P48" s="947"/>
      <c r="Q48" s="947"/>
      <c r="R48" s="947"/>
      <c r="S48" s="947"/>
      <c r="T48" s="947"/>
      <c r="U48" s="947"/>
      <c r="V48" s="947"/>
      <c r="W48" s="946">
        <f t="shared" si="20"/>
        <v>370</v>
      </c>
      <c r="X48" s="1171"/>
      <c r="AB48" s="1172">
        <f t="shared" si="4"/>
        <v>0</v>
      </c>
      <c r="AC48" s="1172">
        <f t="shared" si="19"/>
        <v>0</v>
      </c>
      <c r="AD48" s="1172">
        <f t="shared" si="5"/>
        <v>0</v>
      </c>
      <c r="AF48" s="1175"/>
    </row>
    <row r="49" spans="1:34" s="727" customFormat="1" ht="15" customHeight="1">
      <c r="A49" s="1447" t="s">
        <v>121</v>
      </c>
      <c r="B49" s="1447"/>
      <c r="C49" s="679">
        <f>H49+K49+N49+Q49+T49</f>
        <v>18785</v>
      </c>
      <c r="D49" s="691">
        <f>D9+D10+D14</f>
        <v>2055</v>
      </c>
      <c r="E49" s="681">
        <f>F49+G49</f>
        <v>2375</v>
      </c>
      <c r="F49" s="681">
        <f>F9+F10+F11+F12+F13+F14</f>
        <v>2375</v>
      </c>
      <c r="G49" s="681">
        <f>G9+G10+G11+G12+G13+G14</f>
        <v>0</v>
      </c>
      <c r="H49" s="681">
        <f>I49+J49</f>
        <v>5030</v>
      </c>
      <c r="I49" s="681">
        <f>I9+I10+I11+I12+I13+I14</f>
        <v>5030</v>
      </c>
      <c r="J49" s="681">
        <f>J9+J10+J11+J12+J13+J14</f>
        <v>0</v>
      </c>
      <c r="K49" s="681">
        <f>L49+M49</f>
        <v>4840</v>
      </c>
      <c r="L49" s="681">
        <f>L9+L10+L11+L12+L13+L14</f>
        <v>4840</v>
      </c>
      <c r="M49" s="681">
        <f>M9+M10+M11+M12+M13+M14</f>
        <v>0</v>
      </c>
      <c r="N49" s="681">
        <f>O49+P49</f>
        <v>3405</v>
      </c>
      <c r="O49" s="681">
        <f>O9+O10+O11+O12+O13+O14</f>
        <v>3405</v>
      </c>
      <c r="P49" s="681">
        <f>P9+P10+P11+P12+P13+P14</f>
        <v>0</v>
      </c>
      <c r="Q49" s="1015">
        <f>R49+S49</f>
        <v>3330</v>
      </c>
      <c r="R49" s="681">
        <f>R9+R10+R11+R12+R13+R14</f>
        <v>3330</v>
      </c>
      <c r="S49" s="681">
        <f>S9+S10+S11+S12+S13+S14</f>
        <v>0</v>
      </c>
      <c r="T49" s="1015">
        <f>U49+V49</f>
        <v>2180</v>
      </c>
      <c r="U49" s="681">
        <f>U9+U10+U11+U12+U13+U14</f>
        <v>2180</v>
      </c>
      <c r="V49" s="681">
        <f>V9+V10+V11+V12+V13+V14</f>
        <v>0</v>
      </c>
      <c r="W49" s="1016">
        <f t="shared" si="20"/>
        <v>18785</v>
      </c>
      <c r="X49" s="1171"/>
      <c r="Y49" s="1172"/>
      <c r="Z49" s="1235"/>
      <c r="AA49" s="1235"/>
      <c r="AB49" s="1172">
        <f t="shared" si="4"/>
        <v>0</v>
      </c>
      <c r="AC49" s="1172">
        <f t="shared" si="19"/>
        <v>0</v>
      </c>
      <c r="AD49" s="1172">
        <f t="shared" si="5"/>
        <v>2375</v>
      </c>
      <c r="AE49" s="1174"/>
      <c r="AF49" s="1175"/>
      <c r="AG49" s="1200"/>
      <c r="AH49" s="1200"/>
    </row>
    <row r="50" spans="1:34" ht="15" customHeight="1">
      <c r="A50" s="1450" t="s">
        <v>728</v>
      </c>
      <c r="B50" s="1451"/>
      <c r="C50" s="1451"/>
      <c r="D50" s="1451"/>
      <c r="E50" s="1451"/>
      <c r="F50" s="1451"/>
      <c r="G50" s="1451"/>
      <c r="H50" s="1451"/>
      <c r="I50" s="1451"/>
      <c r="J50" s="1451"/>
      <c r="K50" s="1451"/>
      <c r="L50" s="1451"/>
      <c r="M50" s="1451"/>
      <c r="N50" s="1422"/>
      <c r="O50" s="1422"/>
      <c r="P50" s="1422"/>
      <c r="Q50" s="1422"/>
      <c r="R50" s="1422"/>
      <c r="S50" s="1422"/>
      <c r="T50" s="1422"/>
      <c r="U50" s="1422"/>
      <c r="V50" s="1422"/>
      <c r="W50" s="946">
        <f t="shared" si="20"/>
        <v>0</v>
      </c>
      <c r="X50" s="1171"/>
      <c r="AB50" s="1172">
        <f t="shared" si="4"/>
        <v>0</v>
      </c>
      <c r="AC50" s="1172">
        <f t="shared" si="19"/>
        <v>0</v>
      </c>
      <c r="AD50" s="1172">
        <f t="shared" si="5"/>
        <v>0</v>
      </c>
      <c r="AF50" s="1175"/>
    </row>
    <row r="51" spans="1:34" s="849" customFormat="1" ht="25.5" customHeight="1">
      <c r="A51" s="1423">
        <v>6</v>
      </c>
      <c r="B51" s="1181" t="s">
        <v>916</v>
      </c>
      <c r="C51" s="663">
        <f>H51+K51+N51+Q51+T51</f>
        <v>2470</v>
      </c>
      <c r="D51" s="1423">
        <f>SUM(D52:D61)</f>
        <v>667</v>
      </c>
      <c r="E51" s="682">
        <f t="shared" ref="E51:E59" si="22">F51+G51</f>
        <v>1263</v>
      </c>
      <c r="F51" s="682">
        <f>SUM(F52:F61)</f>
        <v>1263</v>
      </c>
      <c r="G51" s="682">
        <f>SUM(G52:G61)</f>
        <v>0</v>
      </c>
      <c r="H51" s="682">
        <f t="shared" ref="H51" si="23">I51+J51</f>
        <v>1800</v>
      </c>
      <c r="I51" s="682">
        <f>SUM(I52:I61)</f>
        <v>1800</v>
      </c>
      <c r="J51" s="682">
        <f>SUM(J52:J61)</f>
        <v>0</v>
      </c>
      <c r="K51" s="682">
        <f t="shared" ref="K51" si="24">L51+M51</f>
        <v>0</v>
      </c>
      <c r="L51" s="682">
        <f>SUM(L52:L61)</f>
        <v>0</v>
      </c>
      <c r="M51" s="682">
        <f>SUM(M52:M61)</f>
        <v>0</v>
      </c>
      <c r="N51" s="949">
        <f>O51+P51</f>
        <v>0</v>
      </c>
      <c r="O51" s="682">
        <f>SUM(O52:O61)</f>
        <v>0</v>
      </c>
      <c r="P51" s="682">
        <f>SUM(P52:P61)</f>
        <v>0</v>
      </c>
      <c r="Q51" s="949">
        <f>R51+S51</f>
        <v>670</v>
      </c>
      <c r="R51" s="682">
        <f>SUM(R52:R61)</f>
        <v>670</v>
      </c>
      <c r="S51" s="682">
        <f>SUM(S52:S61)</f>
        <v>0</v>
      </c>
      <c r="T51" s="949">
        <f>U51+V51</f>
        <v>0</v>
      </c>
      <c r="U51" s="682">
        <f>SUM(U52:U61)</f>
        <v>0</v>
      </c>
      <c r="V51" s="682">
        <f>SUM(V52:V61)</f>
        <v>0</v>
      </c>
      <c r="W51" s="1104">
        <f t="shared" si="20"/>
        <v>2470</v>
      </c>
      <c r="X51" s="1196"/>
      <c r="Y51" s="1197"/>
      <c r="Z51" s="1235"/>
      <c r="AA51" s="1235"/>
      <c r="AB51" s="1172">
        <f t="shared" si="4"/>
        <v>0</v>
      </c>
      <c r="AC51" s="1172">
        <f t="shared" si="19"/>
        <v>0</v>
      </c>
      <c r="AD51" s="1172">
        <f t="shared" si="5"/>
        <v>1263</v>
      </c>
      <c r="AE51" s="1174"/>
      <c r="AF51" s="1175"/>
      <c r="AG51" s="1198"/>
      <c r="AH51" s="1198"/>
    </row>
    <row r="52" spans="1:34" ht="25.5" hidden="1" customHeight="1">
      <c r="A52" s="826" t="s">
        <v>260</v>
      </c>
      <c r="B52" s="1242" t="s">
        <v>917</v>
      </c>
      <c r="C52" s="679">
        <f t="shared" ref="C52:C62" si="25">H52+K52+N52+Q52+T52</f>
        <v>270</v>
      </c>
      <c r="D52" s="1237">
        <v>0</v>
      </c>
      <c r="E52" s="682">
        <f t="shared" si="22"/>
        <v>0</v>
      </c>
      <c r="F52" s="682"/>
      <c r="G52" s="682"/>
      <c r="H52" s="682">
        <f>I52+J52</f>
        <v>0</v>
      </c>
      <c r="I52" s="682">
        <v>0</v>
      </c>
      <c r="J52" s="682"/>
      <c r="K52" s="682">
        <f>L52+M52</f>
        <v>0</v>
      </c>
      <c r="L52" s="682"/>
      <c r="M52" s="682"/>
      <c r="N52" s="949"/>
      <c r="O52" s="949"/>
      <c r="P52" s="949"/>
      <c r="Q52" s="949">
        <f>R52</f>
        <v>270</v>
      </c>
      <c r="R52" s="949">
        <v>270</v>
      </c>
      <c r="S52" s="949"/>
      <c r="T52" s="949"/>
      <c r="U52" s="949"/>
      <c r="V52" s="949"/>
      <c r="W52" s="1104">
        <f t="shared" si="20"/>
        <v>270</v>
      </c>
      <c r="X52" s="1171"/>
      <c r="AB52" s="1172">
        <f t="shared" si="4"/>
        <v>0</v>
      </c>
      <c r="AC52" s="1172">
        <f t="shared" si="19"/>
        <v>0</v>
      </c>
      <c r="AD52" s="1172">
        <f t="shared" si="5"/>
        <v>0</v>
      </c>
      <c r="AF52" s="1175"/>
    </row>
    <row r="53" spans="1:34" ht="21.95" hidden="1" customHeight="1" outlineLevel="1">
      <c r="A53" s="826"/>
      <c r="B53" s="1181"/>
      <c r="C53" s="679">
        <f t="shared" si="25"/>
        <v>0</v>
      </c>
      <c r="D53" s="1237"/>
      <c r="E53" s="948">
        <f t="shared" ref="E53" si="26">F53+G53</f>
        <v>280</v>
      </c>
      <c r="F53" s="948">
        <v>280</v>
      </c>
      <c r="G53" s="948"/>
      <c r="H53" s="948"/>
      <c r="I53" s="948"/>
      <c r="J53" s="948"/>
      <c r="K53" s="948"/>
      <c r="L53" s="948"/>
      <c r="M53" s="948"/>
      <c r="N53" s="1234"/>
      <c r="O53" s="1234"/>
      <c r="P53" s="1234"/>
      <c r="Q53" s="1234"/>
      <c r="R53" s="1234"/>
      <c r="S53" s="1234"/>
      <c r="T53" s="1234"/>
      <c r="U53" s="1234"/>
      <c r="V53" s="1234"/>
      <c r="W53" s="946">
        <f t="shared" si="20"/>
        <v>0</v>
      </c>
      <c r="X53" s="1171"/>
      <c r="Y53" s="1172">
        <v>250</v>
      </c>
      <c r="Z53" s="1173">
        <v>280</v>
      </c>
      <c r="AA53" s="1173">
        <v>0</v>
      </c>
      <c r="AB53" s="1172"/>
      <c r="AC53" s="1172">
        <f t="shared" si="19"/>
        <v>-30</v>
      </c>
      <c r="AD53" s="1172">
        <f t="shared" si="5"/>
        <v>0</v>
      </c>
      <c r="AF53" s="1175"/>
    </row>
    <row r="54" spans="1:34" ht="21.95" hidden="1" customHeight="1" outlineLevel="1">
      <c r="A54" s="826"/>
      <c r="B54" s="1181"/>
      <c r="C54" s="679">
        <f t="shared" si="25"/>
        <v>0</v>
      </c>
      <c r="D54" s="1237"/>
      <c r="E54" s="948">
        <f t="shared" si="22"/>
        <v>90</v>
      </c>
      <c r="F54" s="948">
        <v>90</v>
      </c>
      <c r="G54" s="948"/>
      <c r="H54" s="948">
        <f>I54</f>
        <v>0</v>
      </c>
      <c r="I54" s="948"/>
      <c r="J54" s="948"/>
      <c r="K54" s="948"/>
      <c r="L54" s="948"/>
      <c r="M54" s="948"/>
      <c r="N54" s="1234"/>
      <c r="O54" s="1234"/>
      <c r="P54" s="1234"/>
      <c r="Q54" s="1234"/>
      <c r="R54" s="1234"/>
      <c r="S54" s="1234"/>
      <c r="T54" s="1234"/>
      <c r="U54" s="1234"/>
      <c r="V54" s="1234"/>
      <c r="W54" s="946">
        <f t="shared" si="20"/>
        <v>0</v>
      </c>
      <c r="X54" s="1171"/>
      <c r="Y54" s="1172">
        <v>100</v>
      </c>
      <c r="Z54" s="1173">
        <v>90</v>
      </c>
      <c r="AA54" s="1173">
        <v>0</v>
      </c>
      <c r="AB54" s="1172">
        <f t="shared" si="4"/>
        <v>10</v>
      </c>
      <c r="AC54" s="1172"/>
      <c r="AD54" s="1172">
        <f t="shared" si="5"/>
        <v>0</v>
      </c>
      <c r="AF54" s="1175"/>
    </row>
    <row r="55" spans="1:34" ht="41.25" hidden="1" customHeight="1" collapsed="1">
      <c r="A55" s="826" t="s">
        <v>261</v>
      </c>
      <c r="B55" s="1181" t="s">
        <v>966</v>
      </c>
      <c r="C55" s="679">
        <f t="shared" si="25"/>
        <v>400</v>
      </c>
      <c r="D55" s="1237"/>
      <c r="E55" s="948">
        <f t="shared" si="22"/>
        <v>0</v>
      </c>
      <c r="F55" s="948">
        <v>0</v>
      </c>
      <c r="G55" s="948"/>
      <c r="H55" s="948">
        <f>I55</f>
        <v>0</v>
      </c>
      <c r="I55" s="948">
        <v>0</v>
      </c>
      <c r="J55" s="948"/>
      <c r="K55" s="948"/>
      <c r="L55" s="948"/>
      <c r="M55" s="948"/>
      <c r="N55" s="1234"/>
      <c r="O55" s="1234"/>
      <c r="P55" s="1234"/>
      <c r="Q55" s="1199">
        <f>R55</f>
        <v>400</v>
      </c>
      <c r="R55" s="1199">
        <f>300+100</f>
        <v>400</v>
      </c>
      <c r="S55" s="1234"/>
      <c r="T55" s="1234"/>
      <c r="U55" s="1234"/>
      <c r="V55" s="1234"/>
      <c r="W55" s="946">
        <f t="shared" si="20"/>
        <v>400</v>
      </c>
      <c r="X55" s="1171"/>
      <c r="Y55" s="1172">
        <v>300</v>
      </c>
      <c r="Z55" s="1173">
        <v>0</v>
      </c>
      <c r="AA55" s="1173">
        <v>100</v>
      </c>
      <c r="AB55" s="1172">
        <f t="shared" si="4"/>
        <v>200</v>
      </c>
      <c r="AC55" s="1172"/>
      <c r="AD55" s="1172">
        <f t="shared" si="5"/>
        <v>0</v>
      </c>
      <c r="AF55" s="1175"/>
    </row>
    <row r="56" spans="1:34" ht="21" hidden="1" customHeight="1" outlineLevel="1">
      <c r="A56" s="826"/>
      <c r="B56" s="1181"/>
      <c r="C56" s="679">
        <f t="shared" si="25"/>
        <v>0</v>
      </c>
      <c r="D56" s="1237"/>
      <c r="E56" s="948">
        <f t="shared" si="22"/>
        <v>183</v>
      </c>
      <c r="F56" s="948">
        <v>183</v>
      </c>
      <c r="G56" s="948"/>
      <c r="H56" s="948"/>
      <c r="I56" s="948"/>
      <c r="J56" s="948"/>
      <c r="K56" s="948"/>
      <c r="L56" s="948"/>
      <c r="M56" s="948"/>
      <c r="N56" s="1234"/>
      <c r="O56" s="1234"/>
      <c r="P56" s="1234"/>
      <c r="Q56" s="1234"/>
      <c r="R56" s="1234"/>
      <c r="S56" s="1234"/>
      <c r="T56" s="1234"/>
      <c r="U56" s="1234"/>
      <c r="V56" s="1234"/>
      <c r="W56" s="946">
        <f t="shared" si="20"/>
        <v>0</v>
      </c>
      <c r="X56" s="1171"/>
      <c r="Y56" s="1172">
        <v>120</v>
      </c>
      <c r="Z56" s="1173">
        <v>183</v>
      </c>
      <c r="AA56" s="1173">
        <v>0</v>
      </c>
      <c r="AB56" s="1172"/>
      <c r="AC56" s="1172">
        <f t="shared" si="19"/>
        <v>-63</v>
      </c>
      <c r="AD56" s="1172">
        <f t="shared" si="5"/>
        <v>0</v>
      </c>
      <c r="AF56" s="1175"/>
    </row>
    <row r="57" spans="1:34" ht="20.100000000000001" hidden="1" customHeight="1" collapsed="1">
      <c r="A57" s="826" t="s">
        <v>730</v>
      </c>
      <c r="B57" s="1181" t="s">
        <v>918</v>
      </c>
      <c r="C57" s="679">
        <f t="shared" si="25"/>
        <v>830</v>
      </c>
      <c r="D57" s="1237"/>
      <c r="E57" s="948">
        <f t="shared" si="22"/>
        <v>460</v>
      </c>
      <c r="F57" s="948">
        <v>460</v>
      </c>
      <c r="G57" s="948"/>
      <c r="H57" s="948">
        <f>I57+J57</f>
        <v>830</v>
      </c>
      <c r="I57" s="948">
        <v>830</v>
      </c>
      <c r="J57" s="948"/>
      <c r="K57" s="948"/>
      <c r="L57" s="948"/>
      <c r="M57" s="948"/>
      <c r="N57" s="1234"/>
      <c r="O57" s="1234"/>
      <c r="P57" s="1234"/>
      <c r="Q57" s="1234"/>
      <c r="R57" s="1234"/>
      <c r="S57" s="1234"/>
      <c r="T57" s="1234"/>
      <c r="U57" s="1234"/>
      <c r="V57" s="1234"/>
      <c r="W57" s="946">
        <f t="shared" si="20"/>
        <v>830</v>
      </c>
      <c r="X57" s="1171"/>
      <c r="Y57" s="1172">
        <v>400</v>
      </c>
      <c r="Z57" s="1173">
        <v>460</v>
      </c>
      <c r="AA57" s="1173">
        <v>0</v>
      </c>
      <c r="AB57" s="1172"/>
      <c r="AC57" s="1172">
        <f t="shared" si="19"/>
        <v>-60</v>
      </c>
      <c r="AD57" s="1172">
        <f t="shared" si="5"/>
        <v>0</v>
      </c>
      <c r="AF57" s="1175"/>
    </row>
    <row r="58" spans="1:34" ht="26.25" hidden="1" customHeight="1">
      <c r="A58" s="826" t="s">
        <v>731</v>
      </c>
      <c r="B58" s="1181" t="s">
        <v>919</v>
      </c>
      <c r="C58" s="679">
        <f t="shared" si="25"/>
        <v>580</v>
      </c>
      <c r="D58" s="1237">
        <v>433</v>
      </c>
      <c r="E58" s="948">
        <f t="shared" si="22"/>
        <v>50</v>
      </c>
      <c r="F58" s="948">
        <v>50</v>
      </c>
      <c r="G58" s="948"/>
      <c r="H58" s="948">
        <f>I58</f>
        <v>580</v>
      </c>
      <c r="I58" s="948">
        <v>580</v>
      </c>
      <c r="J58" s="948"/>
      <c r="K58" s="948">
        <f>L58</f>
        <v>0</v>
      </c>
      <c r="L58" s="948"/>
      <c r="M58" s="948"/>
      <c r="N58" s="1234"/>
      <c r="O58" s="1234"/>
      <c r="P58" s="1234"/>
      <c r="Q58" s="1234"/>
      <c r="R58" s="1234"/>
      <c r="S58" s="1234"/>
      <c r="T58" s="1234"/>
      <c r="U58" s="1234"/>
      <c r="V58" s="1234"/>
      <c r="W58" s="946">
        <f t="shared" si="20"/>
        <v>580</v>
      </c>
      <c r="X58" s="1171"/>
      <c r="Y58" s="1172">
        <v>300</v>
      </c>
      <c r="Z58" s="1173">
        <v>50</v>
      </c>
      <c r="AA58" s="1173">
        <v>0</v>
      </c>
      <c r="AB58" s="1172">
        <f t="shared" si="4"/>
        <v>250</v>
      </c>
      <c r="AC58" s="1172"/>
      <c r="AD58" s="1172">
        <f t="shared" si="5"/>
        <v>0</v>
      </c>
      <c r="AF58" s="1175"/>
    </row>
    <row r="59" spans="1:34" ht="20.100000000000001" hidden="1" customHeight="1">
      <c r="A59" s="826" t="s">
        <v>732</v>
      </c>
      <c r="B59" s="1181" t="s">
        <v>920</v>
      </c>
      <c r="C59" s="679">
        <f t="shared" si="25"/>
        <v>50</v>
      </c>
      <c r="D59" s="1237">
        <v>56</v>
      </c>
      <c r="E59" s="948">
        <f t="shared" si="22"/>
        <v>0</v>
      </c>
      <c r="F59" s="948">
        <v>0</v>
      </c>
      <c r="G59" s="948"/>
      <c r="H59" s="948">
        <f>I59</f>
        <v>50</v>
      </c>
      <c r="I59" s="948">
        <v>50</v>
      </c>
      <c r="J59" s="948"/>
      <c r="K59" s="948"/>
      <c r="L59" s="948"/>
      <c r="M59" s="948"/>
      <c r="N59" s="1234"/>
      <c r="O59" s="1234"/>
      <c r="P59" s="1234"/>
      <c r="Q59" s="1234"/>
      <c r="R59" s="1234"/>
      <c r="S59" s="1234"/>
      <c r="T59" s="1234"/>
      <c r="U59" s="1234"/>
      <c r="V59" s="1234"/>
      <c r="W59" s="946">
        <f t="shared" si="20"/>
        <v>50</v>
      </c>
      <c r="X59" s="1171"/>
      <c r="Y59" s="1172">
        <v>30</v>
      </c>
      <c r="Z59" s="1173">
        <v>0</v>
      </c>
      <c r="AA59" s="1173">
        <v>0</v>
      </c>
      <c r="AB59" s="1172">
        <f t="shared" si="4"/>
        <v>30</v>
      </c>
      <c r="AC59" s="1172"/>
      <c r="AD59" s="1172">
        <f t="shared" si="5"/>
        <v>0</v>
      </c>
      <c r="AF59" s="1175"/>
    </row>
    <row r="60" spans="1:34" ht="20.100000000000001" hidden="1" customHeight="1">
      <c r="A60" s="826" t="s">
        <v>733</v>
      </c>
      <c r="B60" s="1181" t="s">
        <v>921</v>
      </c>
      <c r="C60" s="679">
        <f t="shared" si="25"/>
        <v>120</v>
      </c>
      <c r="D60" s="1237"/>
      <c r="E60" s="948"/>
      <c r="F60" s="948"/>
      <c r="G60" s="948"/>
      <c r="H60" s="948">
        <f>I60+J60</f>
        <v>120</v>
      </c>
      <c r="I60" s="948">
        <v>120</v>
      </c>
      <c r="J60" s="948"/>
      <c r="K60" s="948"/>
      <c r="L60" s="948"/>
      <c r="M60" s="948"/>
      <c r="N60" s="1234"/>
      <c r="O60" s="1234"/>
      <c r="P60" s="1234"/>
      <c r="Q60" s="1234"/>
      <c r="R60" s="1234"/>
      <c r="S60" s="1234"/>
      <c r="T60" s="1234"/>
      <c r="U60" s="1234"/>
      <c r="V60" s="1234"/>
      <c r="W60" s="946">
        <f t="shared" si="20"/>
        <v>120</v>
      </c>
      <c r="X60" s="1171"/>
      <c r="AB60" s="1172"/>
      <c r="AC60" s="1172"/>
      <c r="AD60" s="1172"/>
      <c r="AF60" s="1175"/>
    </row>
    <row r="61" spans="1:34" ht="20.100000000000001" hidden="1" customHeight="1">
      <c r="A61" s="826" t="s">
        <v>734</v>
      </c>
      <c r="B61" s="659" t="s">
        <v>828</v>
      </c>
      <c r="C61" s="679">
        <f t="shared" si="25"/>
        <v>220</v>
      </c>
      <c r="D61" s="1237">
        <v>178</v>
      </c>
      <c r="E61" s="948">
        <f>F61+G61</f>
        <v>200</v>
      </c>
      <c r="F61" s="948">
        <v>200</v>
      </c>
      <c r="G61" s="660"/>
      <c r="H61" s="948">
        <f>I61+J61</f>
        <v>220</v>
      </c>
      <c r="I61" s="948">
        <v>220</v>
      </c>
      <c r="J61" s="948"/>
      <c r="K61" s="948">
        <f t="shared" ref="K61" si="27">L61+M61</f>
        <v>0</v>
      </c>
      <c r="L61" s="948"/>
      <c r="M61" s="948"/>
      <c r="N61" s="949"/>
      <c r="O61" s="949"/>
      <c r="P61" s="949"/>
      <c r="Q61" s="949"/>
      <c r="R61" s="949"/>
      <c r="S61" s="949"/>
      <c r="T61" s="949"/>
      <c r="U61" s="949"/>
      <c r="V61" s="949"/>
      <c r="W61" s="946">
        <f t="shared" si="20"/>
        <v>220</v>
      </c>
      <c r="X61" s="1171"/>
      <c r="Y61" s="1172">
        <v>270</v>
      </c>
      <c r="Z61" s="1173">
        <f>350/2</f>
        <v>175</v>
      </c>
      <c r="AA61" s="1173">
        <v>0</v>
      </c>
      <c r="AB61" s="1172">
        <f t="shared" si="4"/>
        <v>95</v>
      </c>
      <c r="AC61" s="1172"/>
      <c r="AD61" s="1172">
        <f t="shared" si="5"/>
        <v>25</v>
      </c>
      <c r="AF61" s="1175"/>
    </row>
    <row r="62" spans="1:34" s="849" customFormat="1" ht="15" customHeight="1">
      <c r="A62" s="1447" t="s">
        <v>122</v>
      </c>
      <c r="B62" s="1447"/>
      <c r="C62" s="679">
        <f t="shared" si="25"/>
        <v>2470</v>
      </c>
      <c r="D62" s="691">
        <f>D51</f>
        <v>667</v>
      </c>
      <c r="E62" s="690">
        <f>F62+G62</f>
        <v>1263</v>
      </c>
      <c r="F62" s="690">
        <f>F51</f>
        <v>1263</v>
      </c>
      <c r="G62" s="690">
        <f>G51</f>
        <v>0</v>
      </c>
      <c r="H62" s="690">
        <f>I62+J62</f>
        <v>1800</v>
      </c>
      <c r="I62" s="690">
        <f>I51</f>
        <v>1800</v>
      </c>
      <c r="J62" s="690">
        <f>J51</f>
        <v>0</v>
      </c>
      <c r="K62" s="690">
        <f>L62+M62</f>
        <v>0</v>
      </c>
      <c r="L62" s="690">
        <f>L51</f>
        <v>0</v>
      </c>
      <c r="M62" s="690">
        <f>M51</f>
        <v>0</v>
      </c>
      <c r="N62" s="1015"/>
      <c r="O62" s="1015"/>
      <c r="P62" s="1015"/>
      <c r="Q62" s="1015">
        <f>R62+S62</f>
        <v>670</v>
      </c>
      <c r="R62" s="690">
        <f>R51</f>
        <v>670</v>
      </c>
      <c r="S62" s="690">
        <f>S51</f>
        <v>0</v>
      </c>
      <c r="T62" s="1015">
        <f>U62+V62</f>
        <v>0</v>
      </c>
      <c r="U62" s="690">
        <f>U51</f>
        <v>0</v>
      </c>
      <c r="V62" s="690">
        <f>V51</f>
        <v>0</v>
      </c>
      <c r="W62" s="1016">
        <f t="shared" si="20"/>
        <v>2470</v>
      </c>
      <c r="X62" s="1196"/>
      <c r="Y62" s="1197"/>
      <c r="Z62" s="981"/>
      <c r="AA62" s="981"/>
      <c r="AB62" s="1197">
        <f t="shared" si="4"/>
        <v>0</v>
      </c>
      <c r="AC62" s="1197">
        <f t="shared" si="19"/>
        <v>0</v>
      </c>
      <c r="AD62" s="1197">
        <f t="shared" si="5"/>
        <v>1263</v>
      </c>
      <c r="AE62" s="1198"/>
      <c r="AF62" s="1434"/>
      <c r="AG62" s="1198"/>
      <c r="AH62" s="1198"/>
    </row>
    <row r="63" spans="1:34" ht="15" customHeight="1">
      <c r="A63" s="1450" t="s">
        <v>729</v>
      </c>
      <c r="B63" s="1451"/>
      <c r="C63" s="1451"/>
      <c r="D63" s="1451"/>
      <c r="E63" s="1451"/>
      <c r="F63" s="1451"/>
      <c r="G63" s="1451"/>
      <c r="H63" s="1451"/>
      <c r="I63" s="1451"/>
      <c r="J63" s="1451"/>
      <c r="K63" s="1451"/>
      <c r="L63" s="1451"/>
      <c r="M63" s="1451"/>
      <c r="N63" s="1422"/>
      <c r="O63" s="1422"/>
      <c r="P63" s="1422"/>
      <c r="Q63" s="1422"/>
      <c r="R63" s="1422"/>
      <c r="S63" s="1422"/>
      <c r="T63" s="1422"/>
      <c r="U63" s="1422"/>
      <c r="V63" s="1422"/>
      <c r="W63" s="946">
        <f t="shared" si="20"/>
        <v>0</v>
      </c>
      <c r="X63" s="1171"/>
      <c r="AB63" s="1172">
        <f t="shared" si="4"/>
        <v>0</v>
      </c>
      <c r="AC63" s="1172">
        <f t="shared" si="19"/>
        <v>0</v>
      </c>
      <c r="AD63" s="1172">
        <f t="shared" si="5"/>
        <v>0</v>
      </c>
      <c r="AF63" s="1175"/>
    </row>
    <row r="64" spans="1:34" s="1437" customFormat="1" ht="52.5" customHeight="1">
      <c r="A64" s="1421">
        <v>7</v>
      </c>
      <c r="B64" s="1181" t="s">
        <v>1010</v>
      </c>
      <c r="C64" s="663">
        <f>H64+K64+N64+Q64+T64</f>
        <v>12075</v>
      </c>
      <c r="D64" s="852">
        <f>D65+D66</f>
        <v>2000</v>
      </c>
      <c r="E64" s="661">
        <f>F64+G64</f>
        <v>1220</v>
      </c>
      <c r="F64" s="661">
        <f>SUM(F65:F70)</f>
        <v>1220</v>
      </c>
      <c r="G64" s="661">
        <f>SUM(G65:G70)</f>
        <v>0</v>
      </c>
      <c r="H64" s="661">
        <f>I64+J64</f>
        <v>1260</v>
      </c>
      <c r="I64" s="661">
        <f>SUM(I65:I70)</f>
        <v>1260</v>
      </c>
      <c r="J64" s="661">
        <f>SUM(J65:J70)</f>
        <v>0</v>
      </c>
      <c r="K64" s="661">
        <f>L64+M64</f>
        <v>2790</v>
      </c>
      <c r="L64" s="661">
        <f>SUM(L65:L70)</f>
        <v>2790</v>
      </c>
      <c r="M64" s="661">
        <f>SUM(M65:M70)</f>
        <v>0</v>
      </c>
      <c r="N64" s="947">
        <f t="shared" ref="N64:N65" si="28">O64+P64</f>
        <v>6950</v>
      </c>
      <c r="O64" s="661">
        <f>SUM(O65:O70)</f>
        <v>4910</v>
      </c>
      <c r="P64" s="661">
        <f>SUM(P65:P70)</f>
        <v>2040</v>
      </c>
      <c r="Q64" s="947">
        <f>R64+S64</f>
        <v>1075</v>
      </c>
      <c r="R64" s="661">
        <f>SUM(R65:R70)</f>
        <v>1075</v>
      </c>
      <c r="S64" s="661">
        <f>SUM(S65:S70)</f>
        <v>0</v>
      </c>
      <c r="T64" s="947">
        <f>U64+V64</f>
        <v>0</v>
      </c>
      <c r="U64" s="661">
        <f>SUM(U65:U70)</f>
        <v>0</v>
      </c>
      <c r="V64" s="661">
        <f>SUM(V65:V70)</f>
        <v>0</v>
      </c>
      <c r="W64" s="946">
        <f t="shared" si="20"/>
        <v>12075</v>
      </c>
      <c r="X64" s="1171"/>
      <c r="Y64" s="1245"/>
      <c r="Z64" s="1435"/>
      <c r="AA64" s="1435"/>
      <c r="AB64" s="1245">
        <f t="shared" si="4"/>
        <v>0</v>
      </c>
      <c r="AC64" s="1245">
        <f t="shared" si="19"/>
        <v>0</v>
      </c>
      <c r="AD64" s="1245">
        <f t="shared" si="5"/>
        <v>1220</v>
      </c>
      <c r="AE64" s="1244"/>
      <c r="AF64" s="1436"/>
      <c r="AG64" s="1244"/>
      <c r="AH64" s="1244"/>
    </row>
    <row r="65" spans="1:34" ht="19.5" hidden="1" customHeight="1">
      <c r="A65" s="826" t="s">
        <v>312</v>
      </c>
      <c r="B65" s="1180" t="s">
        <v>695</v>
      </c>
      <c r="C65" s="679">
        <f t="shared" ref="C65:C85" si="29">H65+K65+N65+Q65+T65</f>
        <v>6240</v>
      </c>
      <c r="D65" s="852">
        <v>1911</v>
      </c>
      <c r="E65" s="661">
        <f t="shared" ref="E65:E68" si="30">F65+G65</f>
        <v>950</v>
      </c>
      <c r="F65" s="661">
        <v>950</v>
      </c>
      <c r="G65" s="661"/>
      <c r="H65" s="661">
        <f t="shared" ref="H65:H68" si="31">I65+J65</f>
        <v>200</v>
      </c>
      <c r="I65" s="661">
        <v>200</v>
      </c>
      <c r="J65" s="661"/>
      <c r="K65" s="661">
        <f t="shared" ref="K65:K69" si="32">L65+M65</f>
        <v>2040</v>
      </c>
      <c r="L65" s="661">
        <v>2040</v>
      </c>
      <c r="M65" s="661"/>
      <c r="N65" s="947">
        <f t="shared" si="28"/>
        <v>3550</v>
      </c>
      <c r="O65" s="947">
        <v>3550</v>
      </c>
      <c r="P65" s="947"/>
      <c r="Q65" s="947">
        <f t="shared" ref="Q65:Q70" si="33">R65+S65</f>
        <v>450</v>
      </c>
      <c r="R65" s="947">
        <v>450</v>
      </c>
      <c r="S65" s="947"/>
      <c r="T65" s="947"/>
      <c r="U65" s="947"/>
      <c r="V65" s="947"/>
      <c r="W65" s="946">
        <f t="shared" si="20"/>
        <v>6240</v>
      </c>
      <c r="X65" s="1171"/>
      <c r="Y65" s="1172">
        <v>870</v>
      </c>
      <c r="Z65" s="1173">
        <v>900</v>
      </c>
      <c r="AA65" s="1173">
        <v>0</v>
      </c>
      <c r="AB65" s="1172"/>
      <c r="AC65" s="1172">
        <f t="shared" si="19"/>
        <v>-30</v>
      </c>
      <c r="AD65" s="1172">
        <f t="shared" si="5"/>
        <v>50</v>
      </c>
      <c r="AF65" s="1175"/>
    </row>
    <row r="66" spans="1:34" ht="20.100000000000001" hidden="1" customHeight="1">
      <c r="A66" s="826" t="s">
        <v>313</v>
      </c>
      <c r="B66" s="1180" t="s">
        <v>679</v>
      </c>
      <c r="C66" s="679">
        <f t="shared" si="29"/>
        <v>2850</v>
      </c>
      <c r="D66" s="852">
        <v>89</v>
      </c>
      <c r="E66" s="661">
        <f t="shared" si="30"/>
        <v>20</v>
      </c>
      <c r="F66" s="661">
        <v>20</v>
      </c>
      <c r="G66" s="661"/>
      <c r="H66" s="661">
        <f t="shared" si="31"/>
        <v>600</v>
      </c>
      <c r="I66" s="661">
        <v>600</v>
      </c>
      <c r="J66" s="661"/>
      <c r="K66" s="661">
        <f t="shared" si="32"/>
        <v>750</v>
      </c>
      <c r="L66" s="661">
        <v>750</v>
      </c>
      <c r="M66" s="661"/>
      <c r="N66" s="947">
        <f t="shared" ref="N66:N75" si="34">O66+P66</f>
        <v>1000</v>
      </c>
      <c r="O66" s="947">
        <f>1500-500</f>
        <v>1000</v>
      </c>
      <c r="P66" s="947"/>
      <c r="Q66" s="947">
        <f t="shared" si="33"/>
        <v>500</v>
      </c>
      <c r="R66" s="947">
        <v>500</v>
      </c>
      <c r="S66" s="947"/>
      <c r="T66" s="947"/>
      <c r="U66" s="947"/>
      <c r="V66" s="947"/>
      <c r="W66" s="946">
        <f t="shared" si="20"/>
        <v>2850</v>
      </c>
      <c r="X66" s="1171"/>
      <c r="Y66" s="1172">
        <v>20</v>
      </c>
      <c r="Z66" s="1173">
        <v>20</v>
      </c>
      <c r="AA66" s="1173">
        <v>0</v>
      </c>
      <c r="AB66" s="1172">
        <f t="shared" si="4"/>
        <v>0</v>
      </c>
      <c r="AC66" s="1172">
        <f t="shared" si="19"/>
        <v>0</v>
      </c>
      <c r="AD66" s="1172">
        <f t="shared" si="5"/>
        <v>0</v>
      </c>
      <c r="AF66" s="1175"/>
    </row>
    <row r="67" spans="1:34" ht="20.100000000000001" hidden="1" customHeight="1">
      <c r="A67" s="826" t="s">
        <v>314</v>
      </c>
      <c r="B67" s="1180" t="s">
        <v>788</v>
      </c>
      <c r="C67" s="679">
        <f t="shared" si="29"/>
        <v>125</v>
      </c>
      <c r="D67" s="852"/>
      <c r="E67" s="661">
        <f t="shared" si="30"/>
        <v>0</v>
      </c>
      <c r="F67" s="661">
        <v>0</v>
      </c>
      <c r="G67" s="661"/>
      <c r="H67" s="661">
        <f t="shared" si="31"/>
        <v>0</v>
      </c>
      <c r="I67" s="661">
        <v>0</v>
      </c>
      <c r="J67" s="661"/>
      <c r="K67" s="661">
        <f t="shared" si="32"/>
        <v>0</v>
      </c>
      <c r="L67" s="661"/>
      <c r="M67" s="661"/>
      <c r="N67" s="947">
        <f t="shared" si="34"/>
        <v>0</v>
      </c>
      <c r="O67" s="947"/>
      <c r="P67" s="947"/>
      <c r="Q67" s="947">
        <f t="shared" si="33"/>
        <v>125</v>
      </c>
      <c r="R67" s="947">
        <v>125</v>
      </c>
      <c r="S67" s="947"/>
      <c r="T67" s="947"/>
      <c r="U67" s="947"/>
      <c r="V67" s="947"/>
      <c r="W67" s="946">
        <f t="shared" si="20"/>
        <v>125</v>
      </c>
      <c r="X67" s="1171"/>
      <c r="Y67" s="1172">
        <v>125</v>
      </c>
      <c r="AA67" s="1173">
        <v>0</v>
      </c>
      <c r="AB67" s="1172">
        <f t="shared" si="4"/>
        <v>125</v>
      </c>
      <c r="AC67" s="1172"/>
      <c r="AD67" s="1172">
        <f t="shared" si="5"/>
        <v>0</v>
      </c>
      <c r="AF67" s="1175"/>
    </row>
    <row r="68" spans="1:34" ht="20.100000000000001" hidden="1" customHeight="1" outlineLevel="1">
      <c r="A68" s="826"/>
      <c r="B68" s="1180"/>
      <c r="C68" s="679">
        <f t="shared" si="29"/>
        <v>0</v>
      </c>
      <c r="D68" s="852">
        <v>161</v>
      </c>
      <c r="E68" s="661">
        <f t="shared" si="30"/>
        <v>250</v>
      </c>
      <c r="F68" s="661">
        <v>250</v>
      </c>
      <c r="G68" s="661"/>
      <c r="H68" s="661">
        <f t="shared" si="31"/>
        <v>0</v>
      </c>
      <c r="I68" s="661"/>
      <c r="J68" s="661"/>
      <c r="K68" s="661">
        <f t="shared" si="32"/>
        <v>0</v>
      </c>
      <c r="L68" s="661"/>
      <c r="M68" s="661"/>
      <c r="N68" s="947">
        <f t="shared" si="34"/>
        <v>0</v>
      </c>
      <c r="O68" s="947"/>
      <c r="P68" s="947"/>
      <c r="Q68" s="947">
        <f t="shared" si="33"/>
        <v>0</v>
      </c>
      <c r="R68" s="947"/>
      <c r="S68" s="947"/>
      <c r="T68" s="947"/>
      <c r="U68" s="947"/>
      <c r="V68" s="947"/>
      <c r="W68" s="946">
        <f t="shared" si="20"/>
        <v>0</v>
      </c>
      <c r="X68" s="1171"/>
      <c r="Y68" s="1172">
        <v>350</v>
      </c>
      <c r="Z68" s="1173">
        <v>280</v>
      </c>
      <c r="AA68" s="1173">
        <v>0</v>
      </c>
      <c r="AB68" s="1172">
        <f t="shared" si="4"/>
        <v>70</v>
      </c>
      <c r="AC68" s="1172"/>
      <c r="AD68" s="1172">
        <f t="shared" si="5"/>
        <v>-30</v>
      </c>
      <c r="AF68" s="1175"/>
    </row>
    <row r="69" spans="1:34" ht="20.100000000000001" hidden="1" customHeight="1" collapsed="1">
      <c r="A69" s="826" t="s">
        <v>683</v>
      </c>
      <c r="B69" s="1180" t="s">
        <v>922</v>
      </c>
      <c r="C69" s="679">
        <f t="shared" si="29"/>
        <v>460</v>
      </c>
      <c r="D69" s="852"/>
      <c r="E69" s="661"/>
      <c r="F69" s="661"/>
      <c r="G69" s="661"/>
      <c r="H69" s="661">
        <f t="shared" ref="H69" si="35">I69+J69</f>
        <v>460</v>
      </c>
      <c r="I69" s="661">
        <v>460</v>
      </c>
      <c r="J69" s="661"/>
      <c r="K69" s="661">
        <f t="shared" si="32"/>
        <v>0</v>
      </c>
      <c r="L69" s="661">
        <v>0</v>
      </c>
      <c r="M69" s="661"/>
      <c r="N69" s="947">
        <f>O69+P69</f>
        <v>0</v>
      </c>
      <c r="O69" s="947"/>
      <c r="P69" s="947"/>
      <c r="Q69" s="947">
        <f t="shared" si="33"/>
        <v>0</v>
      </c>
      <c r="R69" s="947"/>
      <c r="S69" s="947"/>
      <c r="T69" s="947">
        <f>U69+V69</f>
        <v>0</v>
      </c>
      <c r="U69" s="947"/>
      <c r="V69" s="947"/>
      <c r="W69" s="946">
        <f t="shared" si="20"/>
        <v>460</v>
      </c>
      <c r="X69" s="1171"/>
      <c r="AB69" s="1172">
        <f t="shared" si="4"/>
        <v>0</v>
      </c>
      <c r="AC69" s="1172">
        <f t="shared" si="19"/>
        <v>0</v>
      </c>
      <c r="AD69" s="1172">
        <f t="shared" si="5"/>
        <v>0</v>
      </c>
      <c r="AF69" s="1175"/>
    </row>
    <row r="70" spans="1:34" ht="20.100000000000001" hidden="1" customHeight="1">
      <c r="A70" s="826" t="s">
        <v>684</v>
      </c>
      <c r="B70" s="1180" t="s">
        <v>781</v>
      </c>
      <c r="C70" s="679">
        <f t="shared" si="29"/>
        <v>2400</v>
      </c>
      <c r="D70" s="852"/>
      <c r="E70" s="661"/>
      <c r="F70" s="661"/>
      <c r="G70" s="661"/>
      <c r="H70" s="661"/>
      <c r="I70" s="661"/>
      <c r="J70" s="661"/>
      <c r="K70" s="661"/>
      <c r="L70" s="661"/>
      <c r="M70" s="661"/>
      <c r="N70" s="947">
        <f>O70+P70</f>
        <v>2400</v>
      </c>
      <c r="O70" s="947">
        <v>360</v>
      </c>
      <c r="P70" s="947">
        <v>2040</v>
      </c>
      <c r="Q70" s="947">
        <f t="shared" si="33"/>
        <v>0</v>
      </c>
      <c r="R70" s="947"/>
      <c r="S70" s="947"/>
      <c r="T70" s="947"/>
      <c r="U70" s="947"/>
      <c r="V70" s="947"/>
      <c r="W70" s="946">
        <f t="shared" si="20"/>
        <v>2400</v>
      </c>
      <c r="X70" s="1171"/>
      <c r="AB70" s="1172">
        <f t="shared" si="4"/>
        <v>0</v>
      </c>
      <c r="AC70" s="1172">
        <f t="shared" si="19"/>
        <v>0</v>
      </c>
      <c r="AD70" s="1172">
        <f t="shared" si="5"/>
        <v>0</v>
      </c>
      <c r="AF70" s="1175"/>
    </row>
    <row r="71" spans="1:34" ht="40.5" customHeight="1">
      <c r="A71" s="1237">
        <v>8</v>
      </c>
      <c r="B71" s="1178" t="s">
        <v>722</v>
      </c>
      <c r="C71" s="679">
        <f t="shared" si="29"/>
        <v>1860</v>
      </c>
      <c r="D71" s="852">
        <v>190</v>
      </c>
      <c r="E71" s="661">
        <f>F71+G71</f>
        <v>660</v>
      </c>
      <c r="F71" s="661">
        <v>660</v>
      </c>
      <c r="G71" s="661"/>
      <c r="H71" s="661">
        <f>I71+J71</f>
        <v>660</v>
      </c>
      <c r="I71" s="661">
        <v>660</v>
      </c>
      <c r="J71" s="661"/>
      <c r="K71" s="661">
        <f>L71+M71</f>
        <v>300</v>
      </c>
      <c r="L71" s="661">
        <f>100+100+100</f>
        <v>300</v>
      </c>
      <c r="M71" s="661"/>
      <c r="N71" s="947">
        <f t="shared" si="34"/>
        <v>300</v>
      </c>
      <c r="O71" s="947">
        <v>300</v>
      </c>
      <c r="P71" s="947"/>
      <c r="Q71" s="947">
        <f>R71</f>
        <v>300</v>
      </c>
      <c r="R71" s="947">
        <v>300</v>
      </c>
      <c r="S71" s="947"/>
      <c r="T71" s="947">
        <f>U71</f>
        <v>300</v>
      </c>
      <c r="U71" s="947">
        <v>300</v>
      </c>
      <c r="V71" s="947"/>
      <c r="W71" s="946">
        <f t="shared" si="20"/>
        <v>1860</v>
      </c>
      <c r="X71" s="1171"/>
      <c r="Y71" s="1172">
        <v>660</v>
      </c>
      <c r="Z71" s="1173">
        <v>250</v>
      </c>
      <c r="AA71" s="1173">
        <v>0</v>
      </c>
      <c r="AB71" s="1172">
        <f t="shared" si="4"/>
        <v>410</v>
      </c>
      <c r="AC71" s="1172"/>
      <c r="AD71" s="1172">
        <f t="shared" si="5"/>
        <v>410</v>
      </c>
      <c r="AF71" s="1175"/>
    </row>
    <row r="72" spans="1:34" s="1054" customFormat="1" ht="20.100000000000001" customHeight="1">
      <c r="A72" s="826" t="s">
        <v>887</v>
      </c>
      <c r="B72" s="1178" t="s">
        <v>923</v>
      </c>
      <c r="C72" s="679">
        <f t="shared" si="29"/>
        <v>7800</v>
      </c>
      <c r="D72" s="852">
        <v>208</v>
      </c>
      <c r="E72" s="661">
        <f t="shared" ref="E72:E84" si="36">F72+G72</f>
        <v>70</v>
      </c>
      <c r="F72" s="661">
        <v>70</v>
      </c>
      <c r="G72" s="661"/>
      <c r="H72" s="661">
        <f t="shared" ref="H72:H73" si="37">I72+J72</f>
        <v>0</v>
      </c>
      <c r="I72" s="661"/>
      <c r="J72" s="661"/>
      <c r="K72" s="661">
        <f t="shared" ref="K72:K81" si="38">L72+M72</f>
        <v>3800</v>
      </c>
      <c r="L72" s="661">
        <v>1377</v>
      </c>
      <c r="M72" s="661">
        <v>2423</v>
      </c>
      <c r="N72" s="947">
        <f t="shared" si="34"/>
        <v>4000</v>
      </c>
      <c r="O72" s="947">
        <v>1450</v>
      </c>
      <c r="P72" s="947">
        <v>2550</v>
      </c>
      <c r="Q72" s="947"/>
      <c r="R72" s="947"/>
      <c r="S72" s="947"/>
      <c r="T72" s="947"/>
      <c r="U72" s="947"/>
      <c r="V72" s="947"/>
      <c r="W72" s="946">
        <f t="shared" si="20"/>
        <v>7800</v>
      </c>
      <c r="X72" s="1201"/>
      <c r="Y72" s="1202">
        <v>3500</v>
      </c>
      <c r="Z72" s="1203">
        <v>70</v>
      </c>
      <c r="AA72" s="1203">
        <v>0</v>
      </c>
      <c r="AB72" s="1202">
        <f t="shared" si="4"/>
        <v>3430</v>
      </c>
      <c r="AC72" s="1202"/>
      <c r="AD72" s="1245">
        <f t="shared" si="5"/>
        <v>0</v>
      </c>
      <c r="AE72" s="1204"/>
      <c r="AF72" s="1205"/>
      <c r="AG72" s="1204"/>
      <c r="AH72" s="1204"/>
    </row>
    <row r="73" spans="1:34" s="1054" customFormat="1" ht="20.100000000000001" customHeight="1">
      <c r="A73" s="826" t="s">
        <v>735</v>
      </c>
      <c r="B73" s="1178" t="s">
        <v>822</v>
      </c>
      <c r="C73" s="679">
        <f t="shared" si="29"/>
        <v>1850</v>
      </c>
      <c r="D73" s="852">
        <v>26</v>
      </c>
      <c r="E73" s="661">
        <f t="shared" si="36"/>
        <v>80</v>
      </c>
      <c r="F73" s="661">
        <v>80</v>
      </c>
      <c r="G73" s="661"/>
      <c r="H73" s="661">
        <f t="shared" si="37"/>
        <v>1850</v>
      </c>
      <c r="I73" s="661">
        <v>1850</v>
      </c>
      <c r="J73" s="661"/>
      <c r="K73" s="661"/>
      <c r="L73" s="661"/>
      <c r="M73" s="661"/>
      <c r="N73" s="947">
        <f t="shared" si="34"/>
        <v>0</v>
      </c>
      <c r="O73" s="947"/>
      <c r="P73" s="947"/>
      <c r="Q73" s="947"/>
      <c r="R73" s="947"/>
      <c r="S73" s="947"/>
      <c r="T73" s="947"/>
      <c r="U73" s="947"/>
      <c r="V73" s="947"/>
      <c r="W73" s="946">
        <f t="shared" si="20"/>
        <v>1850</v>
      </c>
      <c r="X73" s="1201"/>
      <c r="Y73" s="1202">
        <v>1000</v>
      </c>
      <c r="Z73" s="1203">
        <v>5</v>
      </c>
      <c r="AA73" s="1203">
        <v>40</v>
      </c>
      <c r="AB73" s="1202">
        <f t="shared" si="4"/>
        <v>955</v>
      </c>
      <c r="AC73" s="1202"/>
      <c r="AD73" s="1172">
        <f t="shared" si="5"/>
        <v>75</v>
      </c>
      <c r="AE73" s="1204"/>
      <c r="AF73" s="1205"/>
      <c r="AG73" s="1204"/>
      <c r="AH73" s="1204"/>
    </row>
    <row r="74" spans="1:34" s="1054" customFormat="1">
      <c r="A74" s="826" t="s">
        <v>697</v>
      </c>
      <c r="B74" s="1178" t="s">
        <v>999</v>
      </c>
      <c r="C74" s="679">
        <f t="shared" si="29"/>
        <v>10000</v>
      </c>
      <c r="D74" s="852"/>
      <c r="E74" s="661">
        <f t="shared" si="36"/>
        <v>0</v>
      </c>
      <c r="F74" s="661"/>
      <c r="G74" s="661"/>
      <c r="H74" s="661">
        <f t="shared" ref="H74:H84" si="39">I74+J74</f>
        <v>5000</v>
      </c>
      <c r="I74" s="661"/>
      <c r="J74" s="661">
        <v>5000</v>
      </c>
      <c r="K74" s="661">
        <f t="shared" si="38"/>
        <v>5000</v>
      </c>
      <c r="L74" s="661"/>
      <c r="M74" s="661">
        <v>5000</v>
      </c>
      <c r="N74" s="947">
        <f t="shared" si="34"/>
        <v>0</v>
      </c>
      <c r="O74" s="947"/>
      <c r="P74" s="947"/>
      <c r="Q74" s="947">
        <f>R74+S74</f>
        <v>0</v>
      </c>
      <c r="R74" s="947"/>
      <c r="S74" s="947"/>
      <c r="T74" s="947"/>
      <c r="U74" s="947"/>
      <c r="V74" s="947"/>
      <c r="W74" s="946">
        <f t="shared" si="20"/>
        <v>10000</v>
      </c>
      <c r="X74" s="1201"/>
      <c r="Y74" s="1202">
        <v>5000</v>
      </c>
      <c r="Z74" s="1203">
        <v>0</v>
      </c>
      <c r="AA74" s="1203">
        <v>0</v>
      </c>
      <c r="AB74" s="1202">
        <f t="shared" si="4"/>
        <v>5000</v>
      </c>
      <c r="AC74" s="1202"/>
      <c r="AD74" s="1172">
        <f t="shared" si="5"/>
        <v>0</v>
      </c>
      <c r="AE74" s="1204"/>
      <c r="AF74" s="1205"/>
      <c r="AG74" s="1204"/>
      <c r="AH74" s="1204"/>
    </row>
    <row r="75" spans="1:34" ht="20.100000000000001" customHeight="1">
      <c r="A75" s="826" t="s">
        <v>704</v>
      </c>
      <c r="B75" s="1178" t="s">
        <v>782</v>
      </c>
      <c r="C75" s="679">
        <f>H75+K75+N75+Q75+T75</f>
        <v>625</v>
      </c>
      <c r="D75" s="852">
        <v>44</v>
      </c>
      <c r="E75" s="661">
        <f t="shared" si="36"/>
        <v>125</v>
      </c>
      <c r="F75" s="661">
        <v>125</v>
      </c>
      <c r="G75" s="661"/>
      <c r="H75" s="661">
        <f t="shared" si="39"/>
        <v>125</v>
      </c>
      <c r="I75" s="661">
        <v>125</v>
      </c>
      <c r="J75" s="661"/>
      <c r="K75" s="661">
        <f t="shared" si="38"/>
        <v>125</v>
      </c>
      <c r="L75" s="661">
        <v>125</v>
      </c>
      <c r="M75" s="661"/>
      <c r="N75" s="947">
        <f t="shared" si="34"/>
        <v>125</v>
      </c>
      <c r="O75" s="947">
        <v>125</v>
      </c>
      <c r="P75" s="947"/>
      <c r="Q75" s="947">
        <f t="shared" ref="Q75:Q85" si="40">R75+S75</f>
        <v>125</v>
      </c>
      <c r="R75" s="947">
        <v>125</v>
      </c>
      <c r="S75" s="947"/>
      <c r="T75" s="947">
        <f t="shared" ref="T75" si="41">U75+V75</f>
        <v>125</v>
      </c>
      <c r="U75" s="947">
        <v>125</v>
      </c>
      <c r="V75" s="947"/>
      <c r="W75" s="946">
        <f t="shared" si="20"/>
        <v>625</v>
      </c>
      <c r="X75" s="1171"/>
      <c r="Y75" s="1172">
        <v>125</v>
      </c>
      <c r="Z75" s="1173">
        <v>125</v>
      </c>
      <c r="AA75" s="1173">
        <v>0</v>
      </c>
      <c r="AB75" s="1172">
        <f t="shared" si="4"/>
        <v>0</v>
      </c>
      <c r="AC75" s="1172">
        <f t="shared" si="19"/>
        <v>0</v>
      </c>
      <c r="AD75" s="1172">
        <f t="shared" si="5"/>
        <v>0</v>
      </c>
      <c r="AF75" s="1175"/>
    </row>
    <row r="76" spans="1:34" s="849" customFormat="1" ht="20.100000000000001" customHeight="1">
      <c r="A76" s="826" t="s">
        <v>714</v>
      </c>
      <c r="B76" s="1178" t="s">
        <v>713</v>
      </c>
      <c r="C76" s="663">
        <f t="shared" si="29"/>
        <v>2750</v>
      </c>
      <c r="D76" s="852">
        <f>D77+D78</f>
        <v>44</v>
      </c>
      <c r="E76" s="661">
        <f t="shared" si="36"/>
        <v>100</v>
      </c>
      <c r="F76" s="661">
        <f>F77+F78</f>
        <v>100</v>
      </c>
      <c r="G76" s="661">
        <f>G77+G78</f>
        <v>0</v>
      </c>
      <c r="H76" s="661">
        <f t="shared" si="39"/>
        <v>550</v>
      </c>
      <c r="I76" s="661">
        <f>I77+I78</f>
        <v>550</v>
      </c>
      <c r="J76" s="661">
        <f>J77+J78</f>
        <v>0</v>
      </c>
      <c r="K76" s="661">
        <f t="shared" si="38"/>
        <v>400</v>
      </c>
      <c r="L76" s="661">
        <f>L77+L78</f>
        <v>400</v>
      </c>
      <c r="M76" s="661">
        <f>M77+M78</f>
        <v>0</v>
      </c>
      <c r="N76" s="947">
        <f t="shared" ref="N76:N85" si="42">O76+P76</f>
        <v>600</v>
      </c>
      <c r="O76" s="661">
        <f>O77+O78</f>
        <v>600</v>
      </c>
      <c r="P76" s="661">
        <f>P77+P78</f>
        <v>0</v>
      </c>
      <c r="Q76" s="947">
        <f t="shared" si="40"/>
        <v>600</v>
      </c>
      <c r="R76" s="661">
        <f>R77+R78</f>
        <v>600</v>
      </c>
      <c r="S76" s="661">
        <f>S77+S78</f>
        <v>0</v>
      </c>
      <c r="T76" s="947">
        <f>U76+V76</f>
        <v>600</v>
      </c>
      <c r="U76" s="661">
        <f>U77+U78</f>
        <v>600</v>
      </c>
      <c r="V76" s="947"/>
      <c r="W76" s="946">
        <f t="shared" si="20"/>
        <v>2750</v>
      </c>
      <c r="X76" s="1196"/>
      <c r="Y76" s="1197"/>
      <c r="Z76" s="1235"/>
      <c r="AA76" s="1235"/>
      <c r="AB76" s="1172">
        <f t="shared" si="4"/>
        <v>0</v>
      </c>
      <c r="AC76" s="1172">
        <f t="shared" si="19"/>
        <v>0</v>
      </c>
      <c r="AD76" s="1172">
        <f t="shared" si="5"/>
        <v>100</v>
      </c>
      <c r="AE76" s="1174"/>
      <c r="AF76" s="1175"/>
      <c r="AG76" s="1198"/>
      <c r="AH76" s="1198"/>
    </row>
    <row r="77" spans="1:34" ht="20.100000000000001" hidden="1" customHeight="1">
      <c r="A77" s="826" t="s">
        <v>160</v>
      </c>
      <c r="B77" s="1178" t="s">
        <v>723</v>
      </c>
      <c r="C77" s="679">
        <f t="shared" si="29"/>
        <v>550</v>
      </c>
      <c r="D77" s="852">
        <v>18</v>
      </c>
      <c r="E77" s="661">
        <f t="shared" si="36"/>
        <v>50</v>
      </c>
      <c r="F77" s="661">
        <v>50</v>
      </c>
      <c r="G77" s="661"/>
      <c r="H77" s="661">
        <f t="shared" si="39"/>
        <v>150</v>
      </c>
      <c r="I77" s="661">
        <v>150</v>
      </c>
      <c r="J77" s="661"/>
      <c r="K77" s="661">
        <f t="shared" si="38"/>
        <v>100</v>
      </c>
      <c r="L77" s="661">
        <v>100</v>
      </c>
      <c r="M77" s="661"/>
      <c r="N77" s="947">
        <f>O77+P77</f>
        <v>100</v>
      </c>
      <c r="O77" s="947">
        <v>100</v>
      </c>
      <c r="P77" s="947"/>
      <c r="Q77" s="947">
        <f t="shared" si="40"/>
        <v>100</v>
      </c>
      <c r="R77" s="947">
        <v>100</v>
      </c>
      <c r="S77" s="947"/>
      <c r="T77" s="947">
        <f t="shared" ref="T77:T78" si="43">U77+V77</f>
        <v>100</v>
      </c>
      <c r="U77" s="947">
        <v>100</v>
      </c>
      <c r="V77" s="947"/>
      <c r="W77" s="946">
        <f t="shared" si="20"/>
        <v>550</v>
      </c>
      <c r="X77" s="1171"/>
      <c r="Y77" s="1172">
        <v>100</v>
      </c>
      <c r="Z77" s="1173">
        <v>50</v>
      </c>
      <c r="AA77" s="1173">
        <v>0</v>
      </c>
      <c r="AB77" s="1172">
        <f t="shared" si="4"/>
        <v>50</v>
      </c>
      <c r="AC77" s="1172"/>
      <c r="AD77" s="1172">
        <f t="shared" si="5"/>
        <v>0</v>
      </c>
      <c r="AF77" s="1175"/>
    </row>
    <row r="78" spans="1:34" ht="20.100000000000001" hidden="1" customHeight="1">
      <c r="A78" s="826" t="s">
        <v>161</v>
      </c>
      <c r="B78" s="1178" t="s">
        <v>829</v>
      </c>
      <c r="C78" s="679">
        <f t="shared" si="29"/>
        <v>2200</v>
      </c>
      <c r="D78" s="852">
        <v>26</v>
      </c>
      <c r="E78" s="661">
        <f t="shared" si="36"/>
        <v>50</v>
      </c>
      <c r="F78" s="661">
        <v>50</v>
      </c>
      <c r="G78" s="661"/>
      <c r="H78" s="661">
        <f t="shared" si="39"/>
        <v>400</v>
      </c>
      <c r="I78" s="661">
        <v>400</v>
      </c>
      <c r="J78" s="661"/>
      <c r="K78" s="661">
        <f t="shared" si="38"/>
        <v>300</v>
      </c>
      <c r="L78" s="661">
        <v>300</v>
      </c>
      <c r="M78" s="661"/>
      <c r="N78" s="947">
        <f t="shared" si="42"/>
        <v>500</v>
      </c>
      <c r="O78" s="947">
        <v>500</v>
      </c>
      <c r="P78" s="947"/>
      <c r="Q78" s="947">
        <f t="shared" si="40"/>
        <v>500</v>
      </c>
      <c r="R78" s="947">
        <v>500</v>
      </c>
      <c r="S78" s="947"/>
      <c r="T78" s="947">
        <f t="shared" si="43"/>
        <v>500</v>
      </c>
      <c r="U78" s="947">
        <v>500</v>
      </c>
      <c r="V78" s="947"/>
      <c r="W78" s="946">
        <f t="shared" si="20"/>
        <v>2200</v>
      </c>
      <c r="X78" s="1171"/>
      <c r="Y78" s="1172">
        <v>1000</v>
      </c>
      <c r="Z78" s="1173">
        <v>50</v>
      </c>
      <c r="AA78" s="1173">
        <v>200</v>
      </c>
      <c r="AB78" s="1172">
        <f t="shared" si="4"/>
        <v>750</v>
      </c>
      <c r="AC78" s="1172"/>
      <c r="AD78" s="1172">
        <f t="shared" si="5"/>
        <v>0</v>
      </c>
      <c r="AF78" s="1175"/>
    </row>
    <row r="79" spans="1:34" ht="20.100000000000001" hidden="1" customHeight="1" outlineLevel="1">
      <c r="A79" s="826"/>
      <c r="B79" s="1178"/>
      <c r="C79" s="679">
        <f t="shared" si="29"/>
        <v>0</v>
      </c>
      <c r="D79" s="852"/>
      <c r="E79" s="661">
        <f t="shared" si="36"/>
        <v>0</v>
      </c>
      <c r="F79" s="661"/>
      <c r="G79" s="661"/>
      <c r="H79" s="661">
        <f t="shared" si="39"/>
        <v>0</v>
      </c>
      <c r="I79" s="661"/>
      <c r="J79" s="661"/>
      <c r="K79" s="661">
        <f t="shared" si="38"/>
        <v>0</v>
      </c>
      <c r="L79" s="661"/>
      <c r="M79" s="661"/>
      <c r="N79" s="947">
        <f t="shared" si="42"/>
        <v>0</v>
      </c>
      <c r="O79" s="947"/>
      <c r="P79" s="947"/>
      <c r="Q79" s="947">
        <f t="shared" si="40"/>
        <v>0</v>
      </c>
      <c r="R79" s="947"/>
      <c r="S79" s="947"/>
      <c r="T79" s="947"/>
      <c r="U79" s="947"/>
      <c r="V79" s="947"/>
      <c r="W79" s="946">
        <f t="shared" si="20"/>
        <v>0</v>
      </c>
      <c r="X79" s="1171"/>
      <c r="AB79" s="1172">
        <f t="shared" si="4"/>
        <v>0</v>
      </c>
      <c r="AC79" s="1172">
        <f t="shared" si="19"/>
        <v>0</v>
      </c>
      <c r="AD79" s="1172">
        <f t="shared" si="5"/>
        <v>0</v>
      </c>
      <c r="AF79" s="1175"/>
    </row>
    <row r="80" spans="1:34" ht="27.75" customHeight="1" collapsed="1">
      <c r="A80" s="826" t="s">
        <v>715</v>
      </c>
      <c r="B80" s="1178" t="s">
        <v>789</v>
      </c>
      <c r="C80" s="679">
        <f t="shared" si="29"/>
        <v>1440</v>
      </c>
      <c r="D80" s="852">
        <v>74</v>
      </c>
      <c r="E80" s="661">
        <f t="shared" si="36"/>
        <v>750</v>
      </c>
      <c r="F80" s="661">
        <v>750</v>
      </c>
      <c r="G80" s="661"/>
      <c r="H80" s="661">
        <f t="shared" si="39"/>
        <v>720</v>
      </c>
      <c r="I80" s="661">
        <v>720</v>
      </c>
      <c r="J80" s="661">
        <v>0</v>
      </c>
      <c r="K80" s="661">
        <f t="shared" si="38"/>
        <v>720</v>
      </c>
      <c r="L80" s="661">
        <v>720</v>
      </c>
      <c r="M80" s="661"/>
      <c r="N80" s="947"/>
      <c r="O80" s="947"/>
      <c r="P80" s="947"/>
      <c r="Q80" s="947"/>
      <c r="R80" s="947"/>
      <c r="S80" s="947"/>
      <c r="T80" s="947"/>
      <c r="U80" s="947"/>
      <c r="V80" s="947"/>
      <c r="W80" s="946">
        <f t="shared" si="20"/>
        <v>1440</v>
      </c>
      <c r="X80" s="1171"/>
      <c r="Y80" s="1172">
        <v>780</v>
      </c>
      <c r="Z80" s="1173">
        <v>750</v>
      </c>
      <c r="AA80" s="1173">
        <v>0</v>
      </c>
      <c r="AB80" s="1172">
        <f t="shared" si="4"/>
        <v>30</v>
      </c>
      <c r="AC80" s="1172"/>
      <c r="AD80" s="1172">
        <f t="shared" si="5"/>
        <v>0</v>
      </c>
      <c r="AF80" s="1175"/>
    </row>
    <row r="81" spans="1:34" ht="20.100000000000001" customHeight="1">
      <c r="A81" s="1237">
        <v>15</v>
      </c>
      <c r="B81" s="1178" t="s">
        <v>701</v>
      </c>
      <c r="C81" s="679">
        <f t="shared" si="29"/>
        <v>650</v>
      </c>
      <c r="D81" s="852">
        <v>10</v>
      </c>
      <c r="E81" s="661">
        <f t="shared" si="36"/>
        <v>130</v>
      </c>
      <c r="F81" s="661">
        <v>130</v>
      </c>
      <c r="G81" s="661"/>
      <c r="H81" s="661">
        <f t="shared" si="39"/>
        <v>130</v>
      </c>
      <c r="I81" s="661">
        <v>130</v>
      </c>
      <c r="J81" s="661"/>
      <c r="K81" s="661">
        <f t="shared" si="38"/>
        <v>130</v>
      </c>
      <c r="L81" s="661">
        <v>130</v>
      </c>
      <c r="M81" s="661"/>
      <c r="N81" s="947">
        <f t="shared" si="42"/>
        <v>130</v>
      </c>
      <c r="O81" s="947">
        <v>130</v>
      </c>
      <c r="P81" s="947"/>
      <c r="Q81" s="947">
        <f t="shared" si="40"/>
        <v>130</v>
      </c>
      <c r="R81" s="947">
        <v>130</v>
      </c>
      <c r="S81" s="947"/>
      <c r="T81" s="947">
        <f>U81+V81</f>
        <v>130</v>
      </c>
      <c r="U81" s="947">
        <v>130</v>
      </c>
      <c r="V81" s="947"/>
      <c r="W81" s="946">
        <f t="shared" si="20"/>
        <v>650</v>
      </c>
      <c r="X81" s="1171"/>
      <c r="Y81" s="1172">
        <v>130</v>
      </c>
      <c r="Z81" s="1173">
        <v>130</v>
      </c>
      <c r="AA81" s="1173">
        <v>0</v>
      </c>
      <c r="AB81" s="1172">
        <f t="shared" ref="AB81:AB88" si="44">Y81-Z81-AA81</f>
        <v>0</v>
      </c>
      <c r="AC81" s="1172">
        <f t="shared" ref="AC81:AC88" si="45">Y81-Z81-AA81</f>
        <v>0</v>
      </c>
      <c r="AD81" s="1172">
        <f t="shared" ref="AD81:AD84" si="46">F81-Z81</f>
        <v>0</v>
      </c>
      <c r="AF81" s="1175"/>
    </row>
    <row r="82" spans="1:34" ht="20.100000000000001" customHeight="1">
      <c r="A82" s="1237">
        <v>16</v>
      </c>
      <c r="B82" s="1178" t="s">
        <v>821</v>
      </c>
      <c r="C82" s="679">
        <f t="shared" si="29"/>
        <v>6060</v>
      </c>
      <c r="D82" s="852"/>
      <c r="E82" s="661"/>
      <c r="F82" s="661"/>
      <c r="G82" s="661"/>
      <c r="H82" s="661"/>
      <c r="I82" s="661"/>
      <c r="J82" s="661"/>
      <c r="K82" s="661"/>
      <c r="L82" s="661"/>
      <c r="M82" s="661"/>
      <c r="N82" s="947">
        <f>O82+P82</f>
        <v>510</v>
      </c>
      <c r="O82" s="947">
        <v>510</v>
      </c>
      <c r="P82" s="947"/>
      <c r="Q82" s="947">
        <f t="shared" si="40"/>
        <v>1000</v>
      </c>
      <c r="R82" s="947">
        <v>1000</v>
      </c>
      <c r="S82" s="947"/>
      <c r="T82" s="947">
        <f>U82+V82</f>
        <v>4550</v>
      </c>
      <c r="U82" s="947">
        <v>4550</v>
      </c>
      <c r="V82" s="947"/>
      <c r="W82" s="946">
        <f t="shared" si="20"/>
        <v>6060</v>
      </c>
      <c r="X82" s="1171"/>
      <c r="AB82" s="1172"/>
      <c r="AC82" s="1172"/>
      <c r="AD82" s="1172"/>
      <c r="AF82" s="1175"/>
    </row>
    <row r="83" spans="1:34" ht="20.100000000000001" customHeight="1">
      <c r="A83" s="1237">
        <v>17</v>
      </c>
      <c r="B83" s="1178" t="s">
        <v>858</v>
      </c>
      <c r="C83" s="679">
        <f t="shared" si="29"/>
        <v>1250</v>
      </c>
      <c r="D83" s="852"/>
      <c r="E83" s="661"/>
      <c r="F83" s="661"/>
      <c r="G83" s="661"/>
      <c r="H83" s="661">
        <f>I83+J83</f>
        <v>250</v>
      </c>
      <c r="I83" s="661">
        <v>250</v>
      </c>
      <c r="J83" s="661"/>
      <c r="K83" s="661">
        <f>L83+M83</f>
        <v>250</v>
      </c>
      <c r="L83" s="661">
        <v>250</v>
      </c>
      <c r="M83" s="661"/>
      <c r="N83" s="947">
        <f>O83+P83</f>
        <v>250</v>
      </c>
      <c r="O83" s="947">
        <v>250</v>
      </c>
      <c r="P83" s="947"/>
      <c r="Q83" s="947">
        <f t="shared" si="40"/>
        <v>250</v>
      </c>
      <c r="R83" s="947">
        <v>250</v>
      </c>
      <c r="S83" s="947"/>
      <c r="T83" s="947">
        <f>U83+V83</f>
        <v>250</v>
      </c>
      <c r="U83" s="947">
        <v>250</v>
      </c>
      <c r="V83" s="947"/>
      <c r="W83" s="946">
        <f t="shared" si="20"/>
        <v>1250</v>
      </c>
      <c r="X83" s="1171"/>
      <c r="AB83" s="1172"/>
      <c r="AC83" s="1172"/>
      <c r="AD83" s="1172"/>
      <c r="AF83" s="1175"/>
    </row>
    <row r="84" spans="1:34" ht="20.100000000000001" customHeight="1">
      <c r="A84" s="1237">
        <v>18</v>
      </c>
      <c r="B84" s="1178" t="s">
        <v>790</v>
      </c>
      <c r="C84" s="679">
        <f t="shared" si="29"/>
        <v>840</v>
      </c>
      <c r="D84" s="852">
        <v>45</v>
      </c>
      <c r="E84" s="661">
        <f t="shared" si="36"/>
        <v>40</v>
      </c>
      <c r="F84" s="661">
        <v>40</v>
      </c>
      <c r="G84" s="661"/>
      <c r="H84" s="661">
        <f t="shared" si="39"/>
        <v>840</v>
      </c>
      <c r="I84" s="661">
        <f>690+150</f>
        <v>840</v>
      </c>
      <c r="J84" s="661"/>
      <c r="K84" s="661"/>
      <c r="L84" s="661"/>
      <c r="M84" s="661"/>
      <c r="N84" s="947"/>
      <c r="O84" s="947"/>
      <c r="P84" s="947"/>
      <c r="Q84" s="947"/>
      <c r="R84" s="947"/>
      <c r="S84" s="947"/>
      <c r="T84" s="947"/>
      <c r="U84" s="947"/>
      <c r="V84" s="947"/>
      <c r="W84" s="946">
        <f t="shared" si="20"/>
        <v>840</v>
      </c>
      <c r="X84" s="1171"/>
      <c r="Y84" s="1172">
        <v>50</v>
      </c>
      <c r="Z84" s="1173">
        <v>40</v>
      </c>
      <c r="AA84" s="1173">
        <v>40</v>
      </c>
      <c r="AB84" s="1172"/>
      <c r="AC84" s="1172">
        <f t="shared" si="45"/>
        <v>-30</v>
      </c>
      <c r="AD84" s="1172">
        <f t="shared" si="46"/>
        <v>0</v>
      </c>
      <c r="AF84" s="1175"/>
    </row>
    <row r="85" spans="1:34" s="849" customFormat="1" ht="15" customHeight="1">
      <c r="A85" s="1447" t="s">
        <v>794</v>
      </c>
      <c r="B85" s="1447"/>
      <c r="C85" s="679">
        <f t="shared" si="29"/>
        <v>47200</v>
      </c>
      <c r="D85" s="691">
        <f>D64+D71+D72+D73+D75+D77+D78+D80+D81+D84</f>
        <v>2641</v>
      </c>
      <c r="E85" s="681">
        <f>F85+G85</f>
        <v>3175</v>
      </c>
      <c r="F85" s="681">
        <f>F64+F71+F72+F73+F74+F75+F76+F79+F80+F81+F84+F82</f>
        <v>3175</v>
      </c>
      <c r="G85" s="681">
        <f>G64+G71+G72+G73+G74+G75+G76+G79+G80+G81+G84+G82</f>
        <v>0</v>
      </c>
      <c r="H85" s="681">
        <f>I85+J85</f>
        <v>11385</v>
      </c>
      <c r="I85" s="681">
        <f>I64+I71+I72+I73+I74+I75+I76+I79+I80+I81+I84+I82+I83</f>
        <v>6385</v>
      </c>
      <c r="J85" s="681">
        <f>J64+J71+J72+J73+J74+J75+J76+J79+J80+J81+J84+J82+J83</f>
        <v>5000</v>
      </c>
      <c r="K85" s="681">
        <f>L85+M85</f>
        <v>13515</v>
      </c>
      <c r="L85" s="681">
        <f>L64+L71+L72+L73+L74+L75+L76+L79+L80+L81+L84+L82+L83</f>
        <v>6092</v>
      </c>
      <c r="M85" s="681">
        <f>M64+M71+M72+M73+M74+M75+M76+M79+M80+M81+M84+M82+M83</f>
        <v>7423</v>
      </c>
      <c r="N85" s="1015">
        <f t="shared" si="42"/>
        <v>12865</v>
      </c>
      <c r="O85" s="681">
        <f>O64+O71+O72+O73+O74+O75+O76+O79+O80+O81+O84+O82+O83</f>
        <v>8275</v>
      </c>
      <c r="P85" s="681">
        <f>P64+P71+P72+P73+P74+P75+P76+P79+P80+P81+P84+P82+P83</f>
        <v>4590</v>
      </c>
      <c r="Q85" s="1015">
        <f t="shared" si="40"/>
        <v>3480</v>
      </c>
      <c r="R85" s="681">
        <f>R64+R71+R72+R73+R74+R75+R76+R79+R80+R81+R84+R82+R83</f>
        <v>3480</v>
      </c>
      <c r="S85" s="681">
        <f>S64+S71+S72+S73+S74+S75+S76+S79+S80+S81+S84+S82+S83</f>
        <v>0</v>
      </c>
      <c r="T85" s="1015">
        <f>U85+V85</f>
        <v>5955</v>
      </c>
      <c r="U85" s="681">
        <f>U64+U71+U72+U73+U74+U75+U76+U79+U80+U81+U84+U82+U83</f>
        <v>5955</v>
      </c>
      <c r="V85" s="681">
        <f>V64+V71+V72+V73+V74+V75+V76+V79+V80+V81+V84+V82+V83</f>
        <v>0</v>
      </c>
      <c r="W85" s="1016">
        <f t="shared" si="20"/>
        <v>47200</v>
      </c>
      <c r="X85" s="1196"/>
      <c r="Y85" s="1197"/>
      <c r="Z85" s="981"/>
      <c r="AA85" s="981"/>
      <c r="AB85" s="1197">
        <f t="shared" si="44"/>
        <v>0</v>
      </c>
      <c r="AC85" s="1197">
        <f t="shared" si="45"/>
        <v>0</v>
      </c>
      <c r="AD85" s="1197">
        <f t="shared" ref="AD85:AD88" si="47">AA85+AB85</f>
        <v>0</v>
      </c>
      <c r="AE85" s="1198"/>
      <c r="AF85" s="1434"/>
      <c r="AG85" s="1198"/>
      <c r="AH85" s="1198"/>
    </row>
    <row r="86" spans="1:34" ht="27" customHeight="1">
      <c r="A86" s="1452" t="s">
        <v>736</v>
      </c>
      <c r="B86" s="1453"/>
      <c r="C86" s="1453"/>
      <c r="D86" s="1453"/>
      <c r="E86" s="1453"/>
      <c r="F86" s="1453"/>
      <c r="G86" s="1453"/>
      <c r="H86" s="1453"/>
      <c r="I86" s="1453"/>
      <c r="J86" s="1453"/>
      <c r="K86" s="1453"/>
      <c r="L86" s="1453"/>
      <c r="M86" s="1453"/>
      <c r="N86" s="1453"/>
      <c r="O86" s="1453"/>
      <c r="P86" s="1453"/>
      <c r="Q86" s="1453"/>
      <c r="R86" s="1453"/>
      <c r="S86" s="1453"/>
      <c r="T86" s="1453"/>
      <c r="U86" s="1453"/>
      <c r="V86" s="1453"/>
      <c r="W86" s="1454"/>
      <c r="X86" s="1246"/>
      <c r="AB86" s="1172">
        <f t="shared" si="44"/>
        <v>0</v>
      </c>
      <c r="AC86" s="1172">
        <f t="shared" si="45"/>
        <v>0</v>
      </c>
      <c r="AD86" s="1172">
        <f t="shared" si="47"/>
        <v>0</v>
      </c>
      <c r="AF86" s="1175"/>
    </row>
    <row r="87" spans="1:34" ht="27" customHeight="1">
      <c r="A87" s="668">
        <v>19</v>
      </c>
      <c r="B87" s="659" t="s">
        <v>415</v>
      </c>
      <c r="C87" s="663">
        <f>H87+K87+N87+Q87+T87</f>
        <v>750</v>
      </c>
      <c r="D87" s="852">
        <v>500</v>
      </c>
      <c r="E87" s="661">
        <f>F87+G87</f>
        <v>150</v>
      </c>
      <c r="F87" s="682">
        <v>150</v>
      </c>
      <c r="G87" s="682"/>
      <c r="H87" s="661">
        <f>I87+J87</f>
        <v>150</v>
      </c>
      <c r="I87" s="682">
        <v>150</v>
      </c>
      <c r="J87" s="682"/>
      <c r="K87" s="661">
        <f>L87+M87</f>
        <v>150</v>
      </c>
      <c r="L87" s="682">
        <v>150</v>
      </c>
      <c r="M87" s="682"/>
      <c r="N87" s="949">
        <f>O87+P87</f>
        <v>150</v>
      </c>
      <c r="O87" s="949">
        <v>150</v>
      </c>
      <c r="P87" s="949"/>
      <c r="Q87" s="949">
        <f>R87+S87</f>
        <v>150</v>
      </c>
      <c r="R87" s="949">
        <v>150</v>
      </c>
      <c r="S87" s="949"/>
      <c r="T87" s="949">
        <f>U87+V87</f>
        <v>150</v>
      </c>
      <c r="U87" s="949">
        <v>150</v>
      </c>
      <c r="V87" s="949"/>
      <c r="W87" s="946">
        <f>C87</f>
        <v>750</v>
      </c>
      <c r="X87" s="1171"/>
      <c r="Y87" s="1172">
        <v>150</v>
      </c>
      <c r="Z87" s="1173">
        <v>150</v>
      </c>
      <c r="AA87" s="1173">
        <v>0</v>
      </c>
      <c r="AB87" s="1172">
        <f t="shared" si="44"/>
        <v>0</v>
      </c>
      <c r="AC87" s="1172">
        <f t="shared" si="45"/>
        <v>0</v>
      </c>
      <c r="AD87" s="1172">
        <f t="shared" si="47"/>
        <v>0</v>
      </c>
      <c r="AF87" s="1175"/>
    </row>
    <row r="88" spans="1:34" ht="39.75" customHeight="1">
      <c r="A88" s="668">
        <v>20</v>
      </c>
      <c r="B88" s="1178" t="s">
        <v>888</v>
      </c>
      <c r="C88" s="663">
        <f t="shared" ref="C88:C90" si="48">H88+K88+N88+Q88+T88</f>
        <v>3000</v>
      </c>
      <c r="D88" s="852">
        <v>523</v>
      </c>
      <c r="E88" s="661">
        <f>F88+G88</f>
        <v>630</v>
      </c>
      <c r="F88" s="682">
        <v>630</v>
      </c>
      <c r="G88" s="682"/>
      <c r="H88" s="661">
        <f>I88+J88</f>
        <v>500</v>
      </c>
      <c r="I88" s="682">
        <v>500</v>
      </c>
      <c r="J88" s="682"/>
      <c r="K88" s="661">
        <f>L88+M88</f>
        <v>500</v>
      </c>
      <c r="L88" s="682">
        <v>500</v>
      </c>
      <c r="M88" s="682"/>
      <c r="N88" s="949">
        <f>O88+P88</f>
        <v>500</v>
      </c>
      <c r="O88" s="949">
        <v>500</v>
      </c>
      <c r="P88" s="949"/>
      <c r="Q88" s="949">
        <f>R88+S88</f>
        <v>500</v>
      </c>
      <c r="R88" s="949">
        <v>500</v>
      </c>
      <c r="S88" s="949"/>
      <c r="T88" s="949">
        <f>U88+V88</f>
        <v>1000</v>
      </c>
      <c r="U88" s="949">
        <v>1000</v>
      </c>
      <c r="V88" s="949"/>
      <c r="W88" s="946">
        <f>C88</f>
        <v>3000</v>
      </c>
      <c r="X88" s="1171"/>
      <c r="Y88" s="1172">
        <v>500</v>
      </c>
      <c r="Z88" s="1173">
        <v>500</v>
      </c>
      <c r="AA88" s="1173">
        <v>0</v>
      </c>
      <c r="AB88" s="1172">
        <f t="shared" si="44"/>
        <v>0</v>
      </c>
      <c r="AC88" s="1172">
        <f t="shared" si="45"/>
        <v>0</v>
      </c>
      <c r="AD88" s="1172">
        <f t="shared" si="47"/>
        <v>0</v>
      </c>
      <c r="AF88" s="1175"/>
    </row>
    <row r="89" spans="1:34" s="849" customFormat="1" ht="15" customHeight="1">
      <c r="A89" s="1447" t="s">
        <v>293</v>
      </c>
      <c r="B89" s="1447"/>
      <c r="C89" s="679">
        <f t="shared" si="48"/>
        <v>3750</v>
      </c>
      <c r="D89" s="691">
        <f>D87+D88</f>
        <v>1023</v>
      </c>
      <c r="E89" s="681">
        <f t="shared" ref="E89:M89" si="49">E87+E88</f>
        <v>780</v>
      </c>
      <c r="F89" s="681">
        <f>F87+F88</f>
        <v>780</v>
      </c>
      <c r="G89" s="681">
        <f t="shared" si="49"/>
        <v>0</v>
      </c>
      <c r="H89" s="681">
        <f t="shared" si="49"/>
        <v>650</v>
      </c>
      <c r="I89" s="681">
        <f t="shared" si="49"/>
        <v>650</v>
      </c>
      <c r="J89" s="681">
        <f t="shared" si="49"/>
        <v>0</v>
      </c>
      <c r="K89" s="681">
        <f t="shared" si="49"/>
        <v>650</v>
      </c>
      <c r="L89" s="681">
        <f t="shared" si="49"/>
        <v>650</v>
      </c>
      <c r="M89" s="681">
        <f t="shared" si="49"/>
        <v>0</v>
      </c>
      <c r="N89" s="1103">
        <f>O89+P89</f>
        <v>650</v>
      </c>
      <c r="O89" s="1015">
        <f>O87+O88</f>
        <v>650</v>
      </c>
      <c r="P89" s="1015">
        <f>P87+P88</f>
        <v>0</v>
      </c>
      <c r="Q89" s="1015">
        <f>R89+S89</f>
        <v>650</v>
      </c>
      <c r="R89" s="1015">
        <f>R87+R88</f>
        <v>650</v>
      </c>
      <c r="S89" s="1015">
        <f>S87+S88</f>
        <v>0</v>
      </c>
      <c r="T89" s="1015">
        <f>U89+V89</f>
        <v>1150</v>
      </c>
      <c r="U89" s="1015">
        <f>U87+U88</f>
        <v>1150</v>
      </c>
      <c r="V89" s="1015">
        <f>V87+V88</f>
        <v>0</v>
      </c>
      <c r="W89" s="1016">
        <f>C89</f>
        <v>3750</v>
      </c>
      <c r="X89" s="1196"/>
      <c r="Y89" s="1197"/>
      <c r="Z89" s="981"/>
      <c r="AA89" s="981"/>
      <c r="AB89" s="981"/>
      <c r="AC89" s="981"/>
      <c r="AD89" s="981"/>
      <c r="AE89" s="1198"/>
      <c r="AF89" s="1198"/>
      <c r="AG89" s="1198"/>
      <c r="AH89" s="1198"/>
    </row>
    <row r="90" spans="1:34" s="1433" customFormat="1" ht="42.75" customHeight="1">
      <c r="A90" s="1447" t="s">
        <v>816</v>
      </c>
      <c r="B90" s="1447"/>
      <c r="C90" s="679">
        <f t="shared" si="48"/>
        <v>72205</v>
      </c>
      <c r="D90" s="691">
        <f>D49+D62+D85+D89</f>
        <v>6386</v>
      </c>
      <c r="E90" s="681">
        <f>F90+G90</f>
        <v>7593</v>
      </c>
      <c r="F90" s="681">
        <f>F49+F62+F85+F89</f>
        <v>7593</v>
      </c>
      <c r="G90" s="681">
        <f>G49+G62+G85+G89</f>
        <v>0</v>
      </c>
      <c r="H90" s="681">
        <f>I90+J90</f>
        <v>18865</v>
      </c>
      <c r="I90" s="681">
        <f>I49+I62+I85+I89</f>
        <v>13865</v>
      </c>
      <c r="J90" s="681">
        <f>J49+J62+J85+J89</f>
        <v>5000</v>
      </c>
      <c r="K90" s="681">
        <f>L90+M90</f>
        <v>19005</v>
      </c>
      <c r="L90" s="681">
        <f>L49+L62+L85+L89</f>
        <v>11582</v>
      </c>
      <c r="M90" s="681">
        <f>M49+M62+M85+M89</f>
        <v>7423</v>
      </c>
      <c r="N90" s="1103">
        <f>O90+P90</f>
        <v>16920</v>
      </c>
      <c r="O90" s="681">
        <f>O49+O62+O85+O89</f>
        <v>12330</v>
      </c>
      <c r="P90" s="681">
        <f>P49+P62+P85+P89</f>
        <v>4590</v>
      </c>
      <c r="Q90" s="681">
        <f>R90+S90</f>
        <v>8130</v>
      </c>
      <c r="R90" s="681">
        <f>R49+R62+R85+R89</f>
        <v>8130</v>
      </c>
      <c r="S90" s="681">
        <f>S49+S62+S85+S89</f>
        <v>0</v>
      </c>
      <c r="T90" s="1015">
        <f>U90+V90</f>
        <v>9285</v>
      </c>
      <c r="U90" s="681">
        <f>U49+U62+U85+U89</f>
        <v>9285</v>
      </c>
      <c r="V90" s="681">
        <f>V49+V62+V85+V89</f>
        <v>0</v>
      </c>
      <c r="W90" s="1016">
        <f>C90</f>
        <v>72205</v>
      </c>
      <c r="X90" s="1196"/>
      <c r="Y90" s="1197"/>
      <c r="Z90" s="981"/>
      <c r="AA90" s="981"/>
      <c r="AB90" s="981"/>
      <c r="AC90" s="981"/>
      <c r="AD90" s="981"/>
      <c r="AE90" s="1198"/>
      <c r="AF90" s="1198"/>
      <c r="AG90" s="1198"/>
      <c r="AH90" s="1198"/>
    </row>
    <row r="91" spans="1:34">
      <c r="A91" s="1446"/>
      <c r="B91" s="1446"/>
      <c r="C91" s="978"/>
    </row>
    <row r="92" spans="1:34">
      <c r="B92" s="1241"/>
      <c r="C92" s="1233"/>
    </row>
    <row r="93" spans="1:34" hidden="1">
      <c r="B93" s="1240"/>
      <c r="E93" s="1445"/>
      <c r="F93" s="1445"/>
      <c r="G93" s="727"/>
      <c r="H93" s="1445"/>
      <c r="I93" s="1445"/>
      <c r="J93" s="1445" t="s">
        <v>817</v>
      </c>
      <c r="K93" s="1445"/>
      <c r="L93" s="1445"/>
      <c r="M93" s="1448">
        <f>M90+P90+S90</f>
        <v>12013</v>
      </c>
      <c r="N93" s="1449"/>
    </row>
    <row r="94" spans="1:34">
      <c r="B94" s="830"/>
      <c r="E94" s="1444"/>
      <c r="F94" s="1445"/>
      <c r="G94" s="727"/>
      <c r="H94" s="1444"/>
      <c r="I94" s="1445"/>
      <c r="J94" s="727"/>
      <c r="K94" s="1444"/>
      <c r="L94" s="1445"/>
      <c r="M94" s="838"/>
      <c r="N94" s="1444"/>
      <c r="O94" s="1445"/>
      <c r="Q94" s="1444"/>
      <c r="R94" s="1445"/>
      <c r="W94" s="718"/>
      <c r="X94" s="718"/>
    </row>
    <row r="95" spans="1:34">
      <c r="B95" s="1240"/>
      <c r="E95" s="838"/>
      <c r="H95" s="838"/>
      <c r="K95" s="838"/>
      <c r="N95" s="838"/>
      <c r="Q95" s="838"/>
    </row>
    <row r="96" spans="1:34" hidden="1">
      <c r="B96" s="839"/>
      <c r="D96" s="873">
        <f>J90+M90+P90+S90+V90+'T2 kanalizacja 2022-2026'!J95+'T2 kanalizacja 2022-2026'!M95+'T2 kanalizacja 2022-2026'!P95+'T2 kanalizacja 2022-2026'!S95+'T2 kanalizacja 2022-2026'!V95</f>
        <v>72714</v>
      </c>
      <c r="E96" s="833"/>
      <c r="G96" s="1227">
        <v>7463</v>
      </c>
      <c r="H96" s="1227">
        <v>18005</v>
      </c>
      <c r="I96" s="1227">
        <v>18205</v>
      </c>
      <c r="J96" s="1227">
        <v>16170</v>
      </c>
      <c r="K96" s="1227">
        <v>7440</v>
      </c>
      <c r="L96" s="1227">
        <v>8055</v>
      </c>
      <c r="M96" s="1227"/>
      <c r="N96" s="1227"/>
    </row>
    <row r="97" spans="2:14" hidden="1">
      <c r="B97" s="1241"/>
      <c r="C97" s="979"/>
      <c r="D97" s="873">
        <f>'T3 WPI 2022-2026'!M34</f>
        <v>340</v>
      </c>
      <c r="G97" s="1228">
        <f>E90-G96</f>
        <v>130</v>
      </c>
      <c r="H97" s="1228">
        <f>H90-H96</f>
        <v>860</v>
      </c>
      <c r="I97" s="1228">
        <f>K90-I96</f>
        <v>800</v>
      </c>
      <c r="J97" s="1227">
        <f>N90-J96</f>
        <v>750</v>
      </c>
      <c r="K97" s="1228">
        <f>Q90-K96</f>
        <v>690</v>
      </c>
      <c r="L97" s="1228">
        <f>T90-L96</f>
        <v>1230</v>
      </c>
      <c r="M97" s="1228">
        <f>SUM(G97:L97)</f>
        <v>4460</v>
      </c>
      <c r="N97" s="1227"/>
    </row>
    <row r="98" spans="2:14" hidden="1">
      <c r="D98" s="873">
        <f>D96+D97</f>
        <v>73054</v>
      </c>
      <c r="G98" s="1227"/>
      <c r="H98" s="1227"/>
      <c r="I98" s="1227"/>
      <c r="J98" s="1227"/>
      <c r="K98" s="1227"/>
      <c r="L98" s="1227"/>
      <c r="M98" s="1228">
        <f>M97-1770</f>
        <v>2690</v>
      </c>
      <c r="N98" s="1227"/>
    </row>
    <row r="99" spans="2:14">
      <c r="G99" s="1227"/>
      <c r="H99" s="1227"/>
      <c r="I99" s="1227"/>
      <c r="J99" s="1227"/>
      <c r="K99" s="1227"/>
      <c r="L99" s="1227"/>
      <c r="M99" s="1227"/>
      <c r="N99" s="1227"/>
    </row>
    <row r="100" spans="2:14">
      <c r="G100" s="1227"/>
      <c r="H100" s="1227"/>
      <c r="I100" s="1227"/>
      <c r="J100" s="1227"/>
      <c r="K100" s="1227"/>
      <c r="L100" s="1227"/>
      <c r="M100" s="1227"/>
      <c r="N100" s="1227"/>
    </row>
  </sheetData>
  <sheetProtection password="A2A1" sheet="1" objects="1" scenarios="1"/>
  <mergeCells count="34">
    <mergeCell ref="A2:W2"/>
    <mergeCell ref="A8:M8"/>
    <mergeCell ref="A1:C1"/>
    <mergeCell ref="A3:C3"/>
    <mergeCell ref="C5:C6"/>
    <mergeCell ref="A4:A6"/>
    <mergeCell ref="B4:B6"/>
    <mergeCell ref="D4:W4"/>
    <mergeCell ref="E5:G5"/>
    <mergeCell ref="W5:W6"/>
    <mergeCell ref="N5:P5"/>
    <mergeCell ref="H5:J5"/>
    <mergeCell ref="K5:M5"/>
    <mergeCell ref="D5:D6"/>
    <mergeCell ref="Q5:S5"/>
    <mergeCell ref="T5:V5"/>
    <mergeCell ref="A62:B62"/>
    <mergeCell ref="A50:M50"/>
    <mergeCell ref="A63:M63"/>
    <mergeCell ref="A49:B49"/>
    <mergeCell ref="A86:W86"/>
    <mergeCell ref="A85:B85"/>
    <mergeCell ref="N94:O94"/>
    <mergeCell ref="Q94:R94"/>
    <mergeCell ref="A91:B91"/>
    <mergeCell ref="A89:B89"/>
    <mergeCell ref="A90:B90"/>
    <mergeCell ref="K94:L94"/>
    <mergeCell ref="E93:F93"/>
    <mergeCell ref="H93:I93"/>
    <mergeCell ref="E94:F94"/>
    <mergeCell ref="H94:I94"/>
    <mergeCell ref="M93:N93"/>
    <mergeCell ref="J93:L93"/>
  </mergeCells>
  <phoneticPr fontId="6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77" firstPageNumber="9" fitToHeight="2" orientation="landscape" cellComments="asDisplayed" useFirstPageNumber="1" copies="2" r:id="rId1"/>
  <headerFooter alignWithMargins="0"/>
  <rowBreaks count="1" manualBreakCount="1">
    <brk id="75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O31"/>
  <sheetViews>
    <sheetView view="pageBreakPreview" zoomScale="115" zoomScaleNormal="100" zoomScaleSheetLayoutView="115" workbookViewId="0">
      <selection activeCell="S18" sqref="S18"/>
    </sheetView>
  </sheetViews>
  <sheetFormatPr defaultColWidth="9.140625" defaultRowHeight="15.75" outlineLevelRow="1" outlineLevelCol="1"/>
  <cols>
    <col min="1" max="1" width="4" style="762" customWidth="1"/>
    <col min="2" max="2" width="65.28515625" style="762" customWidth="1"/>
    <col min="3" max="3" width="14.140625" style="762" customWidth="1"/>
    <col min="4" max="4" width="9.140625" style="929" hidden="1" customWidth="1" outlineLevel="1"/>
    <col min="5" max="5" width="0" style="1216" hidden="1" customWidth="1" outlineLevel="1"/>
    <col min="6" max="6" width="9.140625" style="762" collapsed="1"/>
    <col min="7" max="13" width="9.140625" style="762"/>
    <col min="14" max="14" width="10.5703125" style="762" bestFit="1" customWidth="1"/>
    <col min="15" max="16384" width="9.140625" style="762"/>
  </cols>
  <sheetData>
    <row r="1" spans="1:10" ht="30" customHeight="1">
      <c r="A1" s="763" t="s">
        <v>847</v>
      </c>
      <c r="B1" s="763"/>
      <c r="C1" s="763"/>
      <c r="D1" s="763"/>
      <c r="E1" s="763"/>
      <c r="F1" s="763"/>
      <c r="G1" s="763"/>
    </row>
    <row r="2" spans="1:10" ht="28.5" customHeight="1">
      <c r="A2" s="763" t="s">
        <v>652</v>
      </c>
      <c r="G2" s="763" t="s">
        <v>188</v>
      </c>
    </row>
    <row r="3" spans="1:10" ht="33" customHeight="1">
      <c r="A3" s="772" t="s">
        <v>13</v>
      </c>
      <c r="B3" s="773" t="s">
        <v>31</v>
      </c>
      <c r="C3" s="774" t="s">
        <v>848</v>
      </c>
      <c r="D3" s="930">
        <v>2020</v>
      </c>
      <c r="E3" s="1217">
        <v>2021</v>
      </c>
      <c r="F3" s="773">
        <v>2022</v>
      </c>
      <c r="G3" s="773">
        <v>2023</v>
      </c>
      <c r="H3" s="773">
        <v>2024</v>
      </c>
      <c r="I3" s="773">
        <v>2025</v>
      </c>
      <c r="J3" s="773">
        <v>2026</v>
      </c>
    </row>
    <row r="4" spans="1:10" s="763" customFormat="1">
      <c r="A4" s="777">
        <v>1</v>
      </c>
      <c r="B4" s="777" t="s">
        <v>653</v>
      </c>
      <c r="C4" s="778">
        <f>F4+G4+H4+I4+J4</f>
        <v>72205</v>
      </c>
      <c r="D4" s="931">
        <v>14058</v>
      </c>
      <c r="E4" s="1218">
        <f>'T1 wodociag 2022-2026'!E90</f>
        <v>7593</v>
      </c>
      <c r="F4" s="778">
        <f>'T1 wodociag 2022-2026'!H90</f>
        <v>18865</v>
      </c>
      <c r="G4" s="778">
        <f>'T1 wodociag 2022-2026'!K90</f>
        <v>19005</v>
      </c>
      <c r="H4" s="778">
        <f>'T1 wodociag 2022-2026'!N90</f>
        <v>16920</v>
      </c>
      <c r="I4" s="778">
        <f>'T1 wodociag 2022-2026'!Q90</f>
        <v>8130</v>
      </c>
      <c r="J4" s="778">
        <f>'T1 wodociag 2022-2026'!T90</f>
        <v>9285</v>
      </c>
    </row>
    <row r="5" spans="1:10">
      <c r="A5" s="901"/>
      <c r="B5" s="901" t="s">
        <v>784</v>
      </c>
      <c r="C5" s="778">
        <f t="shared" ref="C5:C22" si="0">F5+G5+H5+I5+J5</f>
        <v>17013</v>
      </c>
      <c r="D5" s="934">
        <f>2416</f>
        <v>2416</v>
      </c>
      <c r="E5" s="1219">
        <f>'T1 wodociag 2022-2026'!G90</f>
        <v>0</v>
      </c>
      <c r="F5" s="856">
        <f>'T1 wodociag 2022-2026'!J90</f>
        <v>5000</v>
      </c>
      <c r="G5" s="856">
        <f>'T1 wodociag 2022-2026'!M90</f>
        <v>7423</v>
      </c>
      <c r="H5" s="856">
        <f>'T1 wodociag 2022-2026'!P90</f>
        <v>4590</v>
      </c>
      <c r="I5" s="856">
        <f>'T1 wodociag 2022-2026'!S90</f>
        <v>0</v>
      </c>
      <c r="J5" s="984"/>
    </row>
    <row r="6" spans="1:10">
      <c r="A6" s="770"/>
      <c r="B6" s="770" t="s">
        <v>783</v>
      </c>
      <c r="C6" s="778">
        <f t="shared" si="0"/>
        <v>55192</v>
      </c>
      <c r="D6" s="934">
        <f>D4-D5</f>
        <v>11642</v>
      </c>
      <c r="E6" s="1219">
        <f>'T1 wodociag 2022-2026'!F90</f>
        <v>7593</v>
      </c>
      <c r="F6" s="856">
        <f>'T1 wodociag 2022-2026'!I90</f>
        <v>13865</v>
      </c>
      <c r="G6" s="856">
        <f>'T1 wodociag 2022-2026'!L90</f>
        <v>11582</v>
      </c>
      <c r="H6" s="856">
        <f>'T1 wodociag 2022-2026'!O90</f>
        <v>12330</v>
      </c>
      <c r="I6" s="856">
        <f>'T1 wodociag 2022-2026'!R90</f>
        <v>8130</v>
      </c>
      <c r="J6" s="856">
        <f>'T1 wodociag 2022-2026'!U90</f>
        <v>9285</v>
      </c>
    </row>
    <row r="7" spans="1:10" s="763" customFormat="1">
      <c r="A7" s="777">
        <v>2</v>
      </c>
      <c r="B7" s="777" t="s">
        <v>657</v>
      </c>
      <c r="C7" s="778">
        <f t="shared" si="0"/>
        <v>165898</v>
      </c>
      <c r="D7" s="931">
        <v>60575</v>
      </c>
      <c r="E7" s="1218">
        <f>'T2 kanalizacja 2022-2026'!E95</f>
        <v>35093</v>
      </c>
      <c r="F7" s="778">
        <f>'T2 kanalizacja 2022-2026'!H95</f>
        <v>25681</v>
      </c>
      <c r="G7" s="778">
        <f>'T2 kanalizacja 2022-2026'!K95</f>
        <v>40389</v>
      </c>
      <c r="H7" s="778">
        <f>'T2 kanalizacja 2022-2026'!N95</f>
        <v>44289</v>
      </c>
      <c r="I7" s="778">
        <f>'T2 kanalizacja 2022-2026'!Q95</f>
        <v>31589</v>
      </c>
      <c r="J7" s="778">
        <f>'T2 kanalizacja 2022-2026'!T95</f>
        <v>23950</v>
      </c>
    </row>
    <row r="8" spans="1:10">
      <c r="A8" s="901"/>
      <c r="B8" s="901" t="s">
        <v>784</v>
      </c>
      <c r="C8" s="778">
        <f t="shared" si="0"/>
        <v>55701</v>
      </c>
      <c r="D8" s="934">
        <v>37174</v>
      </c>
      <c r="E8" s="1219">
        <f>'T2 kanalizacja 2022-2026'!G95</f>
        <v>5327</v>
      </c>
      <c r="F8" s="856">
        <f>'T2 kanalizacja 2022-2026'!J95</f>
        <v>1921</v>
      </c>
      <c r="G8" s="856">
        <f>'T2 kanalizacja 2022-2026'!M95</f>
        <v>16738</v>
      </c>
      <c r="H8" s="856">
        <f>'T2 kanalizacja 2022-2026'!P95</f>
        <v>22851</v>
      </c>
      <c r="I8" s="856">
        <f>'T2 kanalizacja 2022-2026'!S95</f>
        <v>14191</v>
      </c>
      <c r="J8" s="856">
        <f>'T2 kanalizacja 2022-2026'!V95</f>
        <v>0</v>
      </c>
    </row>
    <row r="9" spans="1:10">
      <c r="A9" s="770"/>
      <c r="B9" s="770" t="s">
        <v>783</v>
      </c>
      <c r="C9" s="778">
        <f t="shared" si="0"/>
        <v>110197</v>
      </c>
      <c r="D9" s="934">
        <f>E7-E8</f>
        <v>29766</v>
      </c>
      <c r="E9" s="1219">
        <f>'T2 kanalizacja 2022-2026'!F95</f>
        <v>29766</v>
      </c>
      <c r="F9" s="856">
        <f>'T2 kanalizacja 2022-2026'!I95</f>
        <v>23760</v>
      </c>
      <c r="G9" s="856">
        <f>'T2 kanalizacja 2022-2026'!L95</f>
        <v>23651</v>
      </c>
      <c r="H9" s="856">
        <f>'T2 kanalizacja 2022-2026'!O95</f>
        <v>21438</v>
      </c>
      <c r="I9" s="856">
        <f>'T2 kanalizacja 2022-2026'!R95</f>
        <v>17398</v>
      </c>
      <c r="J9" s="856">
        <f>'T2 kanalizacja 2022-2026'!U95</f>
        <v>23950</v>
      </c>
    </row>
    <row r="10" spans="1:10" s="763" customFormat="1">
      <c r="A10" s="777">
        <v>3</v>
      </c>
      <c r="B10" s="777" t="s">
        <v>658</v>
      </c>
      <c r="C10" s="778">
        <f t="shared" si="0"/>
        <v>18210</v>
      </c>
      <c r="D10" s="931">
        <f>'T3 WPI 2022-2026'!E34</f>
        <v>4245</v>
      </c>
      <c r="E10" s="1218">
        <f>'T3 WPI 2022-2026'!H34</f>
        <v>8955</v>
      </c>
      <c r="F10" s="778">
        <f>'T3 WPI 2022-2026'!K34</f>
        <v>7410</v>
      </c>
      <c r="G10" s="778">
        <f>'T3 WPI 2022-2026'!N34</f>
        <v>3600</v>
      </c>
      <c r="H10" s="778">
        <f>'T3 WPI 2022-2026'!Q34</f>
        <v>2890</v>
      </c>
      <c r="I10" s="778">
        <f>'T3 WPI 2022-2026'!T34</f>
        <v>2200</v>
      </c>
      <c r="J10" s="778">
        <f>'T3 WPI 2022-2026'!W34</f>
        <v>2110</v>
      </c>
    </row>
    <row r="11" spans="1:10" s="764" customFormat="1">
      <c r="A11" s="902" t="s">
        <v>534</v>
      </c>
      <c r="B11" s="903" t="s">
        <v>659</v>
      </c>
      <c r="C11" s="778">
        <f t="shared" si="0"/>
        <v>420</v>
      </c>
      <c r="D11" s="931">
        <f>'T3 WPI 2022-2026'!E10</f>
        <v>50</v>
      </c>
      <c r="E11" s="1218">
        <f>'T3 WPI 2022-2026'!H10</f>
        <v>4310</v>
      </c>
      <c r="F11" s="778">
        <f>'T3 WPI 2022-2026'!K10</f>
        <v>420</v>
      </c>
      <c r="G11" s="778">
        <f>'T3 WPI 2022-2026'!N10</f>
        <v>0</v>
      </c>
      <c r="H11" s="778">
        <f>'T3 WPI 2022-2026'!Q10</f>
        <v>0</v>
      </c>
      <c r="I11" s="777">
        <v>0</v>
      </c>
      <c r="J11" s="1140"/>
    </row>
    <row r="12" spans="1:10">
      <c r="A12" s="904"/>
      <c r="B12" s="905" t="s">
        <v>654</v>
      </c>
      <c r="C12" s="778">
        <f t="shared" si="0"/>
        <v>340</v>
      </c>
      <c r="D12" s="934">
        <f>'T3 WPI 2022-2026'!G10</f>
        <v>0</v>
      </c>
      <c r="E12" s="1219">
        <f>'T3 WPI 2022-2026'!J10</f>
        <v>2900</v>
      </c>
      <c r="F12" s="983">
        <f>'T3 WPI 2022-2026'!M10</f>
        <v>340</v>
      </c>
      <c r="G12" s="983">
        <f>'T3 WPI 2022-2026'!P10</f>
        <v>0</v>
      </c>
      <c r="H12" s="983">
        <f>'T3 WPI 2022-2026'!S10</f>
        <v>0</v>
      </c>
      <c r="I12" s="984">
        <v>0</v>
      </c>
      <c r="J12" s="984"/>
    </row>
    <row r="13" spans="1:10" outlineLevel="1">
      <c r="A13" s="904"/>
      <c r="B13" s="905" t="s">
        <v>656</v>
      </c>
      <c r="C13" s="778">
        <f t="shared" si="0"/>
        <v>0</v>
      </c>
      <c r="D13" s="934">
        <v>50</v>
      </c>
      <c r="E13" s="1219">
        <f>'T3 WPI 2022-2026'!I10</f>
        <v>1410</v>
      </c>
      <c r="F13" s="983">
        <v>0</v>
      </c>
      <c r="G13" s="983">
        <v>0</v>
      </c>
      <c r="H13" s="983">
        <v>0</v>
      </c>
      <c r="I13" s="984">
        <v>0</v>
      </c>
      <c r="J13" s="984"/>
    </row>
    <row r="14" spans="1:10" s="764" customFormat="1">
      <c r="A14" s="767" t="s">
        <v>537</v>
      </c>
      <c r="B14" s="768" t="s">
        <v>663</v>
      </c>
      <c r="C14" s="778">
        <f t="shared" si="0"/>
        <v>1150</v>
      </c>
      <c r="D14" s="931">
        <v>2350</v>
      </c>
      <c r="E14" s="1218">
        <f>'T3 WPI 2022-2026'!H11+'T3 WPI 2022-2026'!H12</f>
        <v>2400</v>
      </c>
      <c r="F14" s="778">
        <f>'T3 WPI 2022-2026'!K11+'T3 WPI 2022-2026'!K12</f>
        <v>1150</v>
      </c>
      <c r="G14" s="778">
        <f>'T3 WPI 2022-2026'!N11</f>
        <v>0</v>
      </c>
      <c r="H14" s="778">
        <f>'T3 WPI 2022-2026'!Q11+'T3 WPI 2022-2026'!Q12</f>
        <v>0</v>
      </c>
      <c r="I14" s="778">
        <f>'T3 WPI 2022-2026'!R11+'T3 WPI 2022-2026'!R12</f>
        <v>0</v>
      </c>
      <c r="J14" s="1140"/>
    </row>
    <row r="15" spans="1:10">
      <c r="A15" s="769"/>
      <c r="B15" s="766" t="s">
        <v>655</v>
      </c>
      <c r="C15" s="778">
        <f t="shared" si="0"/>
        <v>1150</v>
      </c>
      <c r="D15" s="934">
        <f>pożyczki.dotacje!F33</f>
        <v>1850</v>
      </c>
      <c r="E15" s="1219">
        <f>pożyczki.dotacje!G33</f>
        <v>2151</v>
      </c>
      <c r="F15" s="1253">
        <v>1150</v>
      </c>
      <c r="G15" s="856">
        <f>pożyczki.dotacje!I33</f>
        <v>0</v>
      </c>
      <c r="H15" s="856">
        <f>pożyczki.dotacje!J33</f>
        <v>0</v>
      </c>
      <c r="I15" s="856">
        <f>pożyczki.dotacje!K33</f>
        <v>0</v>
      </c>
      <c r="J15" s="984"/>
    </row>
    <row r="16" spans="1:10">
      <c r="A16" s="769"/>
      <c r="B16" s="766" t="s">
        <v>656</v>
      </c>
      <c r="C16" s="778">
        <f t="shared" si="0"/>
        <v>0</v>
      </c>
      <c r="D16" s="934">
        <f>D14-D15</f>
        <v>500</v>
      </c>
      <c r="E16" s="1219">
        <f t="shared" ref="E16:I16" si="1">E14-E15</f>
        <v>249</v>
      </c>
      <c r="F16" s="1253">
        <v>0</v>
      </c>
      <c r="G16" s="856">
        <f t="shared" si="1"/>
        <v>0</v>
      </c>
      <c r="H16" s="856">
        <f t="shared" si="1"/>
        <v>0</v>
      </c>
      <c r="I16" s="856">
        <f t="shared" si="1"/>
        <v>0</v>
      </c>
      <c r="J16" s="984"/>
    </row>
    <row r="17" spans="1:15" s="764" customFormat="1">
      <c r="A17" s="767" t="s">
        <v>539</v>
      </c>
      <c r="B17" s="768" t="s">
        <v>660</v>
      </c>
      <c r="C17" s="778">
        <f t="shared" si="0"/>
        <v>17330</v>
      </c>
      <c r="D17" s="931">
        <v>4655</v>
      </c>
      <c r="E17" s="1218">
        <f>'T3 WPI 2022-2026'!H13</f>
        <v>2000</v>
      </c>
      <c r="F17" s="778">
        <f>'T3 WPI 2022-2026'!K13</f>
        <v>5840</v>
      </c>
      <c r="G17" s="778">
        <f>'T3 WPI 2022-2026'!N13</f>
        <v>3600</v>
      </c>
      <c r="H17" s="778">
        <f>'T3 WPI 2022-2026'!Q13</f>
        <v>2890</v>
      </c>
      <c r="I17" s="778">
        <f>'T3 WPI 2022-2026'!R13</f>
        <v>2890</v>
      </c>
      <c r="J17" s="778">
        <f>'T3 WPI 2022-2026'!W13</f>
        <v>2110</v>
      </c>
      <c r="L17" s="762" t="s">
        <v>223</v>
      </c>
      <c r="M17" s="847">
        <f>'T1 wodociag 2022-2026'!W90</f>
        <v>72205</v>
      </c>
      <c r="N17" s="762" t="b">
        <f>C4=M17</f>
        <v>1</v>
      </c>
      <c r="O17" s="762"/>
    </row>
    <row r="18" spans="1:15" s="764" customFormat="1">
      <c r="A18" s="906" t="s">
        <v>661</v>
      </c>
      <c r="B18" s="907" t="s">
        <v>143</v>
      </c>
      <c r="C18" s="778">
        <f t="shared" si="0"/>
        <v>0</v>
      </c>
      <c r="D18" s="931">
        <v>620</v>
      </c>
      <c r="E18" s="1218">
        <f>'T3 WPI 2022-2026'!H33</f>
        <v>245</v>
      </c>
      <c r="F18" s="778">
        <f>'T3 WPI 2022-2026'!K33</f>
        <v>0</v>
      </c>
      <c r="G18" s="778">
        <f>'T3 WPI 2022-2026'!N33</f>
        <v>0</v>
      </c>
      <c r="H18" s="778">
        <f>'T3 WPI 2022-2026'!Q33</f>
        <v>0</v>
      </c>
      <c r="I18" s="778">
        <f>'T3 WPI 2022-2026'!R33</f>
        <v>0</v>
      </c>
      <c r="J18" s="778">
        <f>'T3 WPI 2022-2026'!W33</f>
        <v>0</v>
      </c>
      <c r="L18" s="762" t="s">
        <v>224</v>
      </c>
      <c r="M18" s="847">
        <f>'T2 kanalizacja 2022-2026'!W95</f>
        <v>165898</v>
      </c>
      <c r="N18" s="762" t="b">
        <f>C7=M18</f>
        <v>1</v>
      </c>
      <c r="O18" s="762"/>
    </row>
    <row r="19" spans="1:15" s="763" customFormat="1" ht="16.5" thickBot="1">
      <c r="A19" s="779">
        <v>4</v>
      </c>
      <c r="B19" s="779" t="s">
        <v>662</v>
      </c>
      <c r="C19" s="778">
        <f>F19+G19+H19+I19+J19</f>
        <v>256313</v>
      </c>
      <c r="D19" s="932">
        <f t="shared" ref="D19:J19" si="2">D4+D7+D10</f>
        <v>78878</v>
      </c>
      <c r="E19" s="1220">
        <f>E4+E7+E10</f>
        <v>51641</v>
      </c>
      <c r="F19" s="900">
        <f t="shared" si="2"/>
        <v>51956</v>
      </c>
      <c r="G19" s="900">
        <f t="shared" si="2"/>
        <v>62994</v>
      </c>
      <c r="H19" s="900">
        <f t="shared" si="2"/>
        <v>64099</v>
      </c>
      <c r="I19" s="900">
        <f t="shared" si="2"/>
        <v>41919</v>
      </c>
      <c r="J19" s="900">
        <f t="shared" si="2"/>
        <v>35345</v>
      </c>
      <c r="L19" s="762" t="s">
        <v>356</v>
      </c>
      <c r="M19" s="847">
        <f>'T3 WPI 2022-2026'!Z34</f>
        <v>18210</v>
      </c>
      <c r="N19" s="762" t="b">
        <f>C10=M19</f>
        <v>1</v>
      </c>
      <c r="O19" s="762"/>
    </row>
    <row r="20" spans="1:15" ht="16.5" thickTop="1">
      <c r="A20" s="775"/>
      <c r="B20" s="776" t="s">
        <v>654</v>
      </c>
      <c r="C20" s="778">
        <f t="shared" si="0"/>
        <v>73054</v>
      </c>
      <c r="D20" s="933">
        <f t="shared" ref="D20:J20" si="3">D5+D8+D12</f>
        <v>39590</v>
      </c>
      <c r="E20" s="1221">
        <f>E5+E8+E12</f>
        <v>8227</v>
      </c>
      <c r="F20" s="899">
        <f t="shared" si="3"/>
        <v>7261</v>
      </c>
      <c r="G20" s="899">
        <f t="shared" si="3"/>
        <v>24161</v>
      </c>
      <c r="H20" s="899">
        <f t="shared" si="3"/>
        <v>27441</v>
      </c>
      <c r="I20" s="899">
        <f>I5+I8+I12</f>
        <v>14191</v>
      </c>
      <c r="J20" s="899">
        <f t="shared" si="3"/>
        <v>0</v>
      </c>
      <c r="M20" s="847">
        <f>SUM(M17:M19)</f>
        <v>256313</v>
      </c>
      <c r="N20" s="762" t="b">
        <f>C19=M20</f>
        <v>1</v>
      </c>
    </row>
    <row r="21" spans="1:15">
      <c r="A21" s="765"/>
      <c r="B21" s="766" t="s">
        <v>655</v>
      </c>
      <c r="C21" s="778">
        <f t="shared" si="0"/>
        <v>56563</v>
      </c>
      <c r="D21" s="934">
        <f>pożyczki.dotacje!F37</f>
        <v>15480</v>
      </c>
      <c r="E21" s="1219">
        <f>pożyczki.dotacje!G37</f>
        <v>16086</v>
      </c>
      <c r="F21" s="856">
        <f>pożyczki.dotacje!H37</f>
        <v>11363</v>
      </c>
      <c r="G21" s="856">
        <f>pożyczki.dotacje!I37</f>
        <v>12100</v>
      </c>
      <c r="H21" s="856">
        <f>pożyczki.dotacje!J37</f>
        <v>13100</v>
      </c>
      <c r="I21" s="856">
        <f>pożyczki.dotacje!K37</f>
        <v>7200</v>
      </c>
      <c r="J21" s="856">
        <f>pożyczki.dotacje!L37</f>
        <v>12800</v>
      </c>
    </row>
    <row r="22" spans="1:15">
      <c r="A22" s="770"/>
      <c r="B22" s="771" t="s">
        <v>656</v>
      </c>
      <c r="C22" s="778">
        <f t="shared" si="0"/>
        <v>126696</v>
      </c>
      <c r="D22" s="934">
        <f>D19-D20-D21</f>
        <v>23808</v>
      </c>
      <c r="E22" s="1219">
        <f t="shared" ref="E22:J22" si="4">E19-E20-E21</f>
        <v>27328</v>
      </c>
      <c r="F22" s="856">
        <f t="shared" si="4"/>
        <v>33332</v>
      </c>
      <c r="G22" s="856">
        <f t="shared" si="4"/>
        <v>26733</v>
      </c>
      <c r="H22" s="856">
        <f t="shared" si="4"/>
        <v>23558</v>
      </c>
      <c r="I22" s="856">
        <f t="shared" si="4"/>
        <v>20528</v>
      </c>
      <c r="J22" s="856">
        <f t="shared" si="4"/>
        <v>22545</v>
      </c>
    </row>
    <row r="25" spans="1:15">
      <c r="D25" s="935"/>
      <c r="E25" s="1222">
        <f>E4/E19</f>
        <v>0.14699999999999999</v>
      </c>
      <c r="F25" s="1122">
        <f t="shared" ref="F25:I25" si="5">F4/F19</f>
        <v>0.36299999999999999</v>
      </c>
      <c r="G25" s="1122">
        <f t="shared" si="5"/>
        <v>0.30199999999999999</v>
      </c>
      <c r="H25" s="1122">
        <f t="shared" si="5"/>
        <v>0.26400000000000001</v>
      </c>
      <c r="I25" s="1122">
        <f t="shared" si="5"/>
        <v>0.19400000000000001</v>
      </c>
      <c r="K25" s="847">
        <f>'T1 wodociag 2022-2026'!G90+'T1 wodociag 2022-2026'!J90+'T1 wodociag 2022-2026'!M90+'T1 wodociag 2022-2026'!P90+'T1 wodociag 2022-2026'!S90+'T1 wodociag 2022-2026'!V90</f>
        <v>17013</v>
      </c>
    </row>
    <row r="26" spans="1:15">
      <c r="C26" s="847"/>
      <c r="D26" s="935"/>
      <c r="E26" s="1222">
        <f>E7/E19</f>
        <v>0.68</v>
      </c>
      <c r="F26" s="1122">
        <f t="shared" ref="F26:I26" si="6">F7/F19</f>
        <v>0.49399999999999999</v>
      </c>
      <c r="G26" s="1122">
        <f t="shared" si="6"/>
        <v>0.64100000000000001</v>
      </c>
      <c r="H26" s="1122">
        <f t="shared" si="6"/>
        <v>0.69099999999999995</v>
      </c>
      <c r="I26" s="1122">
        <f t="shared" si="6"/>
        <v>0.754</v>
      </c>
      <c r="K26" s="847">
        <f>'T2 kanalizacja 2022-2026'!G95+'T2 kanalizacja 2022-2026'!J95+'T2 kanalizacja 2022-2026'!M95+'T2 kanalizacja 2022-2026'!P95+'T2 kanalizacja 2022-2026'!S95+'T2 kanalizacja 2022-2026'!V95</f>
        <v>61028</v>
      </c>
    </row>
    <row r="27" spans="1:15">
      <c r="D27" s="935"/>
      <c r="E27" s="1222">
        <f>E10/E19</f>
        <v>0.17299999999999999</v>
      </c>
      <c r="F27" s="1122">
        <f t="shared" ref="F27:I27" si="7">F10/F19</f>
        <v>0.14299999999999999</v>
      </c>
      <c r="G27" s="1122">
        <f t="shared" si="7"/>
        <v>5.7000000000000002E-2</v>
      </c>
      <c r="H27" s="1122">
        <f t="shared" si="7"/>
        <v>4.4999999999999998E-2</v>
      </c>
      <c r="I27" s="1122">
        <f t="shared" si="7"/>
        <v>5.1999999999999998E-2</v>
      </c>
      <c r="K27" s="847">
        <f>'T3 WPI 2022-2026'!J34+'T3 WPI 2022-2026'!M34</f>
        <v>3240</v>
      </c>
    </row>
    <row r="28" spans="1:15">
      <c r="C28" s="762">
        <v>1000</v>
      </c>
      <c r="E28" s="1216">
        <f>$C$28*E25</f>
        <v>147</v>
      </c>
      <c r="F28" s="762">
        <f t="shared" ref="F28:I28" si="8">$C$28*F25</f>
        <v>363</v>
      </c>
      <c r="G28" s="762">
        <f t="shared" si="8"/>
        <v>302</v>
      </c>
      <c r="H28" s="762">
        <f t="shared" si="8"/>
        <v>264</v>
      </c>
      <c r="I28" s="762">
        <f t="shared" si="8"/>
        <v>194</v>
      </c>
      <c r="K28" s="1155">
        <f>SUM(K25:K27)</f>
        <v>81281</v>
      </c>
    </row>
    <row r="29" spans="1:15">
      <c r="E29" s="1216">
        <f>$C$28*E26</f>
        <v>680</v>
      </c>
      <c r="F29" s="762">
        <f t="shared" ref="F29:I29" si="9">$C$28*F26</f>
        <v>494</v>
      </c>
      <c r="G29" s="762">
        <f t="shared" si="9"/>
        <v>641</v>
      </c>
      <c r="H29" s="762">
        <f t="shared" si="9"/>
        <v>691</v>
      </c>
      <c r="I29" s="762">
        <f t="shared" si="9"/>
        <v>754</v>
      </c>
    </row>
    <row r="30" spans="1:15">
      <c r="E30" s="1216">
        <f>$C$28*E27</f>
        <v>173</v>
      </c>
      <c r="F30" s="762">
        <f t="shared" ref="F30:I30" si="10">$C$28*F27</f>
        <v>143</v>
      </c>
      <c r="G30" s="762">
        <f t="shared" si="10"/>
        <v>57</v>
      </c>
      <c r="H30" s="762">
        <f t="shared" si="10"/>
        <v>45</v>
      </c>
      <c r="I30" s="762">
        <f t="shared" si="10"/>
        <v>52</v>
      </c>
    </row>
    <row r="31" spans="1:15">
      <c r="E31" s="1216">
        <f>SUM(E28:E30)</f>
        <v>1000</v>
      </c>
      <c r="F31" s="762">
        <f t="shared" ref="F31:I31" si="11">SUM(F28:F30)</f>
        <v>1000</v>
      </c>
      <c r="G31" s="762">
        <f t="shared" si="11"/>
        <v>1000</v>
      </c>
      <c r="H31" s="762">
        <f t="shared" si="11"/>
        <v>1000</v>
      </c>
      <c r="I31" s="762">
        <f t="shared" si="11"/>
        <v>1000</v>
      </c>
    </row>
  </sheetData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showZeros="0" view="pageBreakPreview" zoomScaleNormal="75" zoomScaleSheetLayoutView="100" workbookViewId="0">
      <selection activeCell="H30" sqref="H30"/>
    </sheetView>
  </sheetViews>
  <sheetFormatPr defaultColWidth="9.140625" defaultRowHeight="12.75" outlineLevelRow="1" outlineLevelCol="1"/>
  <cols>
    <col min="1" max="1" width="4.7109375" style="3" customWidth="1"/>
    <col min="2" max="2" width="13.42578125" style="3" customWidth="1"/>
    <col min="3" max="3" width="32.140625" style="3" customWidth="1"/>
    <col min="4" max="4" width="19.5703125" style="3" customWidth="1"/>
    <col min="5" max="5" width="11.140625" style="4" customWidth="1"/>
    <col min="6" max="6" width="9.7109375" style="919" hidden="1" customWidth="1" outlineLevel="1"/>
    <col min="7" max="7" width="9.7109375" style="4" hidden="1" customWidth="1" outlineLevel="1"/>
    <col min="8" max="8" width="9.7109375" style="4" customWidth="1" collapsed="1"/>
    <col min="9" max="9" width="9.7109375" style="3" customWidth="1"/>
    <col min="10" max="10" width="9.7109375" style="1166" customWidth="1"/>
    <col min="11" max="11" width="9.7109375" style="911" customWidth="1"/>
    <col min="12" max="12" width="12.5703125" style="913" customWidth="1"/>
    <col min="13" max="13" width="15.5703125" style="3" customWidth="1"/>
    <col min="14" max="15" width="9.140625" style="3"/>
    <col min="16" max="16" width="9.28515625" style="3" bestFit="1" customWidth="1"/>
    <col min="17" max="16384" width="9.140625" style="3"/>
  </cols>
  <sheetData>
    <row r="1" spans="1:25" ht="3.75" customHeight="1">
      <c r="A1" s="508"/>
      <c r="I1" s="509"/>
      <c r="J1" s="1164"/>
    </row>
    <row r="2" spans="1:25" s="5" customFormat="1" ht="25.5" hidden="1" customHeight="1">
      <c r="A2" s="1600"/>
      <c r="B2" s="1600"/>
      <c r="C2" s="1600"/>
      <c r="D2" s="1600"/>
      <c r="E2" s="1600"/>
      <c r="F2" s="1600"/>
      <c r="G2" s="1600"/>
      <c r="H2" s="1600"/>
      <c r="I2" s="1600"/>
      <c r="J2" s="1165"/>
      <c r="K2" s="1157"/>
      <c r="L2" s="918"/>
    </row>
    <row r="3" spans="1:25" s="5" customFormat="1" ht="20.25" customHeight="1">
      <c r="A3" s="1601" t="s">
        <v>847</v>
      </c>
      <c r="B3" s="1602"/>
      <c r="C3" s="1602"/>
      <c r="D3" s="1602"/>
      <c r="E3" s="1602"/>
      <c r="F3" s="1602"/>
      <c r="G3" s="1602"/>
      <c r="H3" s="1602"/>
      <c r="I3" s="1602"/>
      <c r="J3" s="1603"/>
      <c r="K3" s="1157"/>
      <c r="L3" s="918"/>
    </row>
    <row r="4" spans="1:25" ht="3.75" customHeight="1">
      <c r="A4" s="1601"/>
      <c r="B4" s="1602"/>
      <c r="C4" s="1602"/>
      <c r="D4" s="1602"/>
      <c r="E4" s="1602"/>
      <c r="F4" s="1602"/>
      <c r="G4" s="1602"/>
      <c r="H4" s="1602"/>
      <c r="I4" s="1602"/>
      <c r="J4" s="1603"/>
    </row>
    <row r="5" spans="1:25" ht="15.75" customHeight="1">
      <c r="A5" s="1604" t="s">
        <v>480</v>
      </c>
      <c r="B5" s="1605"/>
      <c r="C5" s="1605"/>
      <c r="D5" s="1605"/>
      <c r="E5" s="1606"/>
      <c r="F5" s="1606"/>
      <c r="G5" s="1606"/>
      <c r="H5" s="1606"/>
      <c r="I5" s="1606"/>
      <c r="J5" s="1607"/>
    </row>
    <row r="6" spans="1:25" ht="20.25" customHeight="1">
      <c r="A6" s="1552" t="s">
        <v>13</v>
      </c>
      <c r="B6" s="1552" t="s">
        <v>16</v>
      </c>
      <c r="C6" s="1552"/>
      <c r="D6" s="1552"/>
      <c r="E6" s="1552" t="s">
        <v>112</v>
      </c>
      <c r="F6" s="1552"/>
      <c r="G6" s="1552"/>
      <c r="H6" s="1552"/>
      <c r="I6" s="1552"/>
      <c r="J6" s="1552"/>
      <c r="K6" s="1552"/>
      <c r="L6" s="1552"/>
    </row>
    <row r="7" spans="1:25" ht="42" customHeight="1">
      <c r="A7" s="1552"/>
      <c r="B7" s="1552"/>
      <c r="C7" s="1552"/>
      <c r="D7" s="1552"/>
      <c r="E7" s="1141" t="s">
        <v>848</v>
      </c>
      <c r="F7" s="920">
        <v>2020</v>
      </c>
      <c r="G7" s="1223">
        <v>2021</v>
      </c>
      <c r="H7" s="1141">
        <v>2022</v>
      </c>
      <c r="I7" s="1141">
        <v>2023</v>
      </c>
      <c r="J7" s="1141">
        <v>2024</v>
      </c>
      <c r="K7" s="668">
        <v>2025</v>
      </c>
      <c r="L7" s="1141">
        <v>2026</v>
      </c>
    </row>
    <row r="8" spans="1:25" s="4" customFormat="1" ht="16.5" customHeight="1">
      <c r="A8" s="506" t="s">
        <v>18</v>
      </c>
      <c r="B8" s="1552">
        <v>1</v>
      </c>
      <c r="C8" s="1552"/>
      <c r="D8" s="1552"/>
      <c r="E8" s="668">
        <v>2</v>
      </c>
      <c r="F8" s="921"/>
      <c r="G8" s="1224">
        <v>3</v>
      </c>
      <c r="H8" s="668">
        <v>4</v>
      </c>
      <c r="I8" s="668">
        <v>5</v>
      </c>
      <c r="J8" s="668">
        <v>6</v>
      </c>
      <c r="K8" s="668">
        <v>7</v>
      </c>
      <c r="L8" s="668">
        <v>8</v>
      </c>
    </row>
    <row r="9" spans="1:25" ht="20.100000000000001" customHeight="1">
      <c r="A9" s="1552">
        <v>1</v>
      </c>
      <c r="B9" s="1553" t="s">
        <v>306</v>
      </c>
      <c r="C9" s="1614" t="s">
        <v>476</v>
      </c>
      <c r="D9" s="878" t="s">
        <v>19</v>
      </c>
      <c r="E9" s="852">
        <f>H9+I9+J9+K9+L9</f>
        <v>55192</v>
      </c>
      <c r="F9" s="922">
        <v>9985</v>
      </c>
      <c r="G9" s="960">
        <f>'T1 wodociag 2022-2026'!F90</f>
        <v>7593</v>
      </c>
      <c r="H9" s="852">
        <f>'T1 wodociag 2022-2026'!I90</f>
        <v>13865</v>
      </c>
      <c r="I9" s="852">
        <f>'T1 wodociag 2022-2026'!L90</f>
        <v>11582</v>
      </c>
      <c r="J9" s="852">
        <f>'T1 wodociag 2022-2026'!O90</f>
        <v>12330</v>
      </c>
      <c r="K9" s="1144">
        <f>'T1 wodociag 2022-2026'!R90</f>
        <v>8130</v>
      </c>
      <c r="L9" s="898">
        <f>'T1 wodociag 2022-2026'!T90</f>
        <v>9285</v>
      </c>
      <c r="M9" s="7"/>
    </row>
    <row r="10" spans="1:25" ht="20.100000000000001" customHeight="1">
      <c r="A10" s="1552"/>
      <c r="B10" s="1553"/>
      <c r="C10" s="1615"/>
      <c r="D10" s="878" t="s">
        <v>707</v>
      </c>
      <c r="E10" s="852">
        <f t="shared" ref="E10:E31" si="0">H10+I10+J10+K10+L10</f>
        <v>17013</v>
      </c>
      <c r="F10" s="922"/>
      <c r="G10" s="960">
        <f>'T1 wodociag 2022-2026'!G90</f>
        <v>0</v>
      </c>
      <c r="H10" s="852">
        <f>'T1 wodociag 2022-2026'!J90</f>
        <v>5000</v>
      </c>
      <c r="I10" s="852">
        <f>'T1 wodociag 2022-2026'!M90</f>
        <v>7423</v>
      </c>
      <c r="J10" s="852">
        <f>'T1 wodociag 2022-2026'!P90</f>
        <v>4590</v>
      </c>
      <c r="K10" s="1144">
        <f>'T1 wodociag 2022-2026'!S90</f>
        <v>0</v>
      </c>
      <c r="L10" s="898">
        <f>'T1 wodociag 2022-2026'!V90</f>
        <v>0</v>
      </c>
      <c r="M10" s="7"/>
    </row>
    <row r="11" spans="1:25" ht="20.100000000000001" customHeight="1">
      <c r="A11" s="1552"/>
      <c r="B11" s="1553"/>
      <c r="C11" s="1612" t="s">
        <v>890</v>
      </c>
      <c r="D11" s="507" t="s">
        <v>19</v>
      </c>
      <c r="E11" s="852">
        <f t="shared" si="0"/>
        <v>0</v>
      </c>
      <c r="F11" s="922">
        <v>1657</v>
      </c>
      <c r="G11" s="960">
        <v>0</v>
      </c>
      <c r="H11" s="852">
        <v>0</v>
      </c>
      <c r="I11" s="658">
        <v>0</v>
      </c>
      <c r="J11" s="658">
        <v>0</v>
      </c>
      <c r="K11" s="1144"/>
      <c r="L11" s="112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f t="shared" ref="W11" si="1">G12+G19</f>
        <v>5327</v>
      </c>
      <c r="X11" s="7"/>
      <c r="Y11" s="7">
        <f t="shared" ref="Y11" si="2">H12+H19</f>
        <v>1921</v>
      </c>
    </row>
    <row r="12" spans="1:25" ht="19.5" customHeight="1">
      <c r="A12" s="1552"/>
      <c r="B12" s="1553"/>
      <c r="C12" s="1613"/>
      <c r="D12" s="507" t="str">
        <f>D19</f>
        <v>dofinansowanie *</v>
      </c>
      <c r="E12" s="852">
        <f t="shared" si="0"/>
        <v>0</v>
      </c>
      <c r="F12" s="922">
        <v>2416</v>
      </c>
      <c r="G12" s="960">
        <v>0</v>
      </c>
      <c r="H12" s="852">
        <v>0</v>
      </c>
      <c r="I12" s="658">
        <v>0</v>
      </c>
      <c r="J12" s="658"/>
      <c r="K12" s="1144"/>
      <c r="L12" s="898"/>
      <c r="Y12" s="504"/>
    </row>
    <row r="13" spans="1:25" ht="41.25" customHeight="1">
      <c r="A13" s="1552"/>
      <c r="B13" s="1553"/>
      <c r="C13" s="1608" t="s">
        <v>739</v>
      </c>
      <c r="D13" s="1610"/>
      <c r="E13" s="852">
        <f t="shared" si="0"/>
        <v>0</v>
      </c>
      <c r="F13" s="922">
        <f t="shared" ref="F13:L13" si="3">F11+F12</f>
        <v>4073</v>
      </c>
      <c r="G13" s="960">
        <f t="shared" si="3"/>
        <v>0</v>
      </c>
      <c r="H13" s="852">
        <f t="shared" si="3"/>
        <v>0</v>
      </c>
      <c r="I13" s="852">
        <f t="shared" si="3"/>
        <v>0</v>
      </c>
      <c r="J13" s="852">
        <f t="shared" si="3"/>
        <v>0</v>
      </c>
      <c r="K13" s="1142">
        <f t="shared" si="3"/>
        <v>0</v>
      </c>
      <c r="L13" s="1142">
        <f t="shared" si="3"/>
        <v>0</v>
      </c>
      <c r="Y13" s="504">
        <v>71494</v>
      </c>
    </row>
    <row r="14" spans="1:25" ht="20.100000000000001" customHeight="1">
      <c r="A14" s="1552"/>
      <c r="B14" s="1549" t="s">
        <v>307</v>
      </c>
      <c r="C14" s="1549"/>
      <c r="D14" s="1549"/>
      <c r="E14" s="852">
        <f t="shared" si="0"/>
        <v>55192</v>
      </c>
      <c r="F14" s="922">
        <f>F9+F11</f>
        <v>11642</v>
      </c>
      <c r="G14" s="960">
        <f>G9+G11</f>
        <v>7593</v>
      </c>
      <c r="H14" s="852">
        <f t="shared" ref="H14:L14" si="4">H9+H11</f>
        <v>13865</v>
      </c>
      <c r="I14" s="852">
        <f t="shared" si="4"/>
        <v>11582</v>
      </c>
      <c r="J14" s="852">
        <f>J9+J11</f>
        <v>12330</v>
      </c>
      <c r="K14" s="1142">
        <f t="shared" si="4"/>
        <v>8130</v>
      </c>
      <c r="L14" s="1142">
        <f t="shared" si="4"/>
        <v>9285</v>
      </c>
      <c r="N14" s="3" t="s">
        <v>223</v>
      </c>
      <c r="O14" s="7">
        <f>'T1 wodociag 2022-2026'!W90</f>
        <v>72205</v>
      </c>
      <c r="P14" s="3" t="b">
        <f>E15=O14</f>
        <v>1</v>
      </c>
      <c r="Y14" s="504">
        <f>SUM(M11:Z11)</f>
        <v>7248</v>
      </c>
    </row>
    <row r="15" spans="1:25" ht="27" customHeight="1">
      <c r="A15" s="1552"/>
      <c r="B15" s="1611" t="s">
        <v>309</v>
      </c>
      <c r="C15" s="1611"/>
      <c r="D15" s="1611"/>
      <c r="E15" s="852">
        <f t="shared" si="0"/>
        <v>72205</v>
      </c>
      <c r="F15" s="923">
        <f t="shared" ref="F15:L15" si="5">F14+F12+F10</f>
        <v>14058</v>
      </c>
      <c r="G15" s="959">
        <f t="shared" si="5"/>
        <v>7593</v>
      </c>
      <c r="H15" s="691">
        <f t="shared" si="5"/>
        <v>18865</v>
      </c>
      <c r="I15" s="691">
        <f t="shared" si="5"/>
        <v>19005</v>
      </c>
      <c r="J15" s="691">
        <f t="shared" si="5"/>
        <v>16920</v>
      </c>
      <c r="K15" s="1143">
        <f t="shared" si="5"/>
        <v>8130</v>
      </c>
      <c r="L15" s="1143">
        <f t="shared" si="5"/>
        <v>9285</v>
      </c>
      <c r="N15" s="3" t="s">
        <v>224</v>
      </c>
      <c r="O15" s="7">
        <f>'T2 kanalizacja 2022-2026'!W95</f>
        <v>165898</v>
      </c>
      <c r="P15" s="3" t="b">
        <f>E22=O15</f>
        <v>1</v>
      </c>
      <c r="Y15" s="504">
        <f>Y13-Y14</f>
        <v>64246</v>
      </c>
    </row>
    <row r="16" spans="1:25" ht="20.100000000000001" customHeight="1">
      <c r="A16" s="1552">
        <v>2</v>
      </c>
      <c r="B16" s="1553" t="s">
        <v>462</v>
      </c>
      <c r="C16" s="1598" t="s">
        <v>616</v>
      </c>
      <c r="D16" s="878" t="s">
        <v>19</v>
      </c>
      <c r="E16" s="852">
        <f t="shared" si="0"/>
        <v>80292</v>
      </c>
      <c r="F16" s="922">
        <v>15265</v>
      </c>
      <c r="G16" s="960">
        <f>'T2 kanalizacja 2022-2026'!F93</f>
        <v>13957</v>
      </c>
      <c r="H16" s="852">
        <f>'T2 kanalizacja 2022-2026'!I93</f>
        <v>11490</v>
      </c>
      <c r="I16" s="658">
        <f>'T2 kanalizacja 2022-2026'!L93</f>
        <v>20097</v>
      </c>
      <c r="J16" s="658">
        <f>'T2 kanalizacja 2022-2026'!O93</f>
        <v>14905</v>
      </c>
      <c r="K16" s="1144">
        <f>'T2 kanalizacja 2022-2026'!R93</f>
        <v>9850</v>
      </c>
      <c r="L16" s="898">
        <f>'T2 kanalizacja 2022-2026'!U95</f>
        <v>23950</v>
      </c>
      <c r="N16" s="3" t="s">
        <v>356</v>
      </c>
      <c r="O16" s="7">
        <f>'T3 WPI 2022-2026'!Z34</f>
        <v>18210</v>
      </c>
      <c r="P16" s="3" t="b">
        <f>E24=O16</f>
        <v>1</v>
      </c>
      <c r="Y16" s="504"/>
    </row>
    <row r="17" spans="1:25" ht="20.100000000000001" customHeight="1">
      <c r="A17" s="1552"/>
      <c r="B17" s="1553"/>
      <c r="C17" s="1599"/>
      <c r="D17" s="878" t="s">
        <v>707</v>
      </c>
      <c r="E17" s="852">
        <f t="shared" si="0"/>
        <v>0</v>
      </c>
      <c r="F17" s="922"/>
      <c r="G17" s="960"/>
      <c r="H17" s="852"/>
      <c r="I17" s="658">
        <f>'T2 kanalizacja 2022-2026'!M93</f>
        <v>0</v>
      </c>
      <c r="J17" s="658">
        <f>'T2 kanalizacja 2022-2026'!P93</f>
        <v>0</v>
      </c>
      <c r="K17" s="1144">
        <f>'T2 kanalizacja 2022-2026'!S93</f>
        <v>0</v>
      </c>
      <c r="L17" s="898">
        <f>'T2 kanalizacja 2022-2026'!V95</f>
        <v>0</v>
      </c>
      <c r="O17" s="7">
        <f>SUM(O14:O16)</f>
        <v>256313</v>
      </c>
      <c r="P17" s="3" t="b">
        <f>E31=O17</f>
        <v>1</v>
      </c>
      <c r="Y17" s="504"/>
    </row>
    <row r="18" spans="1:25" s="6" customFormat="1" ht="20.100000000000001" customHeight="1">
      <c r="A18" s="1552"/>
      <c r="B18" s="1553"/>
      <c r="C18" s="1549" t="str">
        <f>C11</f>
        <v xml:space="preserve">Gospodarka wodno - ściekowa na terenie aglomeracji Toruń - III etap + nowa perspektywa finansowa 2021-2027
</v>
      </c>
      <c r="D18" s="507" t="s">
        <v>19</v>
      </c>
      <c r="E18" s="852">
        <f t="shared" si="0"/>
        <v>29905</v>
      </c>
      <c r="F18" s="922">
        <v>8136</v>
      </c>
      <c r="G18" s="960">
        <f>'T2 kanalizacja 2022-2026'!F94</f>
        <v>15809</v>
      </c>
      <c r="H18" s="852">
        <f>'T2 kanalizacja 2022-2026'!I94</f>
        <v>12270</v>
      </c>
      <c r="I18" s="658">
        <f>'T2 kanalizacja 2022-2026'!L94</f>
        <v>3554</v>
      </c>
      <c r="J18" s="658">
        <f>'T2 kanalizacja 2022-2026'!O94</f>
        <v>6533</v>
      </c>
      <c r="K18" s="1144">
        <f>'T2 kanalizacja 2022-2026'!R94</f>
        <v>7548</v>
      </c>
      <c r="L18" s="898"/>
    </row>
    <row r="19" spans="1:25" s="6" customFormat="1" ht="20.100000000000001" customHeight="1">
      <c r="A19" s="1552"/>
      <c r="B19" s="1553"/>
      <c r="C19" s="1549"/>
      <c r="D19" s="507" t="s">
        <v>353</v>
      </c>
      <c r="E19" s="852">
        <f t="shared" si="0"/>
        <v>55701</v>
      </c>
      <c r="F19" s="922">
        <v>37174</v>
      </c>
      <c r="G19" s="960">
        <f>'T2 kanalizacja 2022-2026'!G94</f>
        <v>5327</v>
      </c>
      <c r="H19" s="852">
        <f>'T2 kanalizacja 2022-2026'!J94</f>
        <v>1921</v>
      </c>
      <c r="I19" s="658">
        <f>'T2 kanalizacja 2022-2026'!M94</f>
        <v>16738</v>
      </c>
      <c r="J19" s="658">
        <f>'T2 kanalizacja 2022-2026'!P94</f>
        <v>22851</v>
      </c>
      <c r="K19" s="1144">
        <f>'T2 kanalizacja 2022-2026'!S94</f>
        <v>14191</v>
      </c>
      <c r="L19" s="898"/>
    </row>
    <row r="20" spans="1:25" s="6" customFormat="1" ht="29.25" customHeight="1">
      <c r="A20" s="1552"/>
      <c r="B20" s="1553"/>
      <c r="C20" s="1549" t="s">
        <v>894</v>
      </c>
      <c r="D20" s="1549"/>
      <c r="E20" s="852">
        <f t="shared" si="0"/>
        <v>85606</v>
      </c>
      <c r="F20" s="922">
        <f>F18+F19</f>
        <v>45310</v>
      </c>
      <c r="G20" s="960">
        <f t="shared" ref="G20:I20" si="6">G18+G19</f>
        <v>21136</v>
      </c>
      <c r="H20" s="852">
        <f t="shared" si="6"/>
        <v>14191</v>
      </c>
      <c r="I20" s="852">
        <f t="shared" si="6"/>
        <v>20292</v>
      </c>
      <c r="J20" s="852">
        <f>J18+J19</f>
        <v>29384</v>
      </c>
      <c r="K20" s="1142">
        <f>K18+K19</f>
        <v>21739</v>
      </c>
      <c r="L20" s="1142">
        <f>L18+L19</f>
        <v>0</v>
      </c>
    </row>
    <row r="21" spans="1:25" s="6" customFormat="1" ht="20.100000000000001" customHeight="1">
      <c r="A21" s="1552"/>
      <c r="B21" s="1549" t="s">
        <v>305</v>
      </c>
      <c r="C21" s="1549"/>
      <c r="D21" s="1549"/>
      <c r="E21" s="852">
        <f t="shared" si="0"/>
        <v>110197</v>
      </c>
      <c r="F21" s="922">
        <f t="shared" ref="F21:L21" si="7">F16+F18</f>
        <v>23401</v>
      </c>
      <c r="G21" s="960">
        <f t="shared" si="7"/>
        <v>29766</v>
      </c>
      <c r="H21" s="852">
        <f t="shared" si="7"/>
        <v>23760</v>
      </c>
      <c r="I21" s="852">
        <f t="shared" si="7"/>
        <v>23651</v>
      </c>
      <c r="J21" s="852">
        <f>J16+J18</f>
        <v>21438</v>
      </c>
      <c r="K21" s="1142">
        <f t="shared" si="7"/>
        <v>17398</v>
      </c>
      <c r="L21" s="852">
        <f t="shared" si="7"/>
        <v>23950</v>
      </c>
    </row>
    <row r="22" spans="1:25" s="6" customFormat="1" ht="27" customHeight="1">
      <c r="A22" s="1552"/>
      <c r="B22" s="1611" t="s">
        <v>463</v>
      </c>
      <c r="C22" s="1611"/>
      <c r="D22" s="1611"/>
      <c r="E22" s="852">
        <f t="shared" si="0"/>
        <v>165898</v>
      </c>
      <c r="F22" s="923">
        <f>F21+F19+F17</f>
        <v>60575</v>
      </c>
      <c r="G22" s="959">
        <f t="shared" ref="G22:L22" si="8">G21+G19+G17</f>
        <v>35093</v>
      </c>
      <c r="H22" s="691">
        <f t="shared" si="8"/>
        <v>25681</v>
      </c>
      <c r="I22" s="691">
        <f t="shared" si="8"/>
        <v>40389</v>
      </c>
      <c r="J22" s="691">
        <f t="shared" si="8"/>
        <v>44289</v>
      </c>
      <c r="K22" s="1143">
        <f t="shared" si="8"/>
        <v>31589</v>
      </c>
      <c r="L22" s="691">
        <f t="shared" si="8"/>
        <v>23950</v>
      </c>
    </row>
    <row r="23" spans="1:25" s="6" customFormat="1" ht="27" customHeight="1">
      <c r="A23" s="506">
        <v>3</v>
      </c>
      <c r="B23" s="1549" t="s">
        <v>891</v>
      </c>
      <c r="C23" s="1549"/>
      <c r="D23" s="1549"/>
      <c r="E23" s="852">
        <f t="shared" si="0"/>
        <v>85606</v>
      </c>
      <c r="F23" s="922">
        <f t="shared" ref="F23:L23" si="9">F13+F20</f>
        <v>49383</v>
      </c>
      <c r="G23" s="960">
        <f t="shared" si="9"/>
        <v>21136</v>
      </c>
      <c r="H23" s="852">
        <f t="shared" si="9"/>
        <v>14191</v>
      </c>
      <c r="I23" s="852">
        <f t="shared" si="9"/>
        <v>20292</v>
      </c>
      <c r="J23" s="852">
        <f t="shared" si="9"/>
        <v>29384</v>
      </c>
      <c r="K23" s="1142">
        <f t="shared" si="9"/>
        <v>21739</v>
      </c>
      <c r="L23" s="852">
        <f t="shared" si="9"/>
        <v>0</v>
      </c>
      <c r="M23" s="21"/>
    </row>
    <row r="24" spans="1:25" s="956" customFormat="1" ht="20.100000000000001" customHeight="1">
      <c r="A24" s="954">
        <v>4</v>
      </c>
      <c r="B24" s="1611" t="s">
        <v>617</v>
      </c>
      <c r="C24" s="1611"/>
      <c r="D24" s="1611"/>
      <c r="E24" s="852">
        <f t="shared" si="0"/>
        <v>18210</v>
      </c>
      <c r="F24" s="923">
        <f>SUM(F25:F27)</f>
        <v>7675</v>
      </c>
      <c r="G24" s="959">
        <f>SUM(G25:G27)</f>
        <v>8955</v>
      </c>
      <c r="H24" s="691">
        <f t="shared" ref="H24" si="10">SUM(H25:H27)</f>
        <v>7410</v>
      </c>
      <c r="I24" s="691">
        <f>SUM(I25:I27)</f>
        <v>3600</v>
      </c>
      <c r="J24" s="691">
        <f>SUM(J25:J27)</f>
        <v>2890</v>
      </c>
      <c r="K24" s="1143">
        <f>SUM(K25:K27)</f>
        <v>2200</v>
      </c>
      <c r="L24" s="691">
        <f>'T3 WPI 2022-2026'!W34</f>
        <v>2110</v>
      </c>
      <c r="M24" s="955"/>
    </row>
    <row r="25" spans="1:25" s="6" customFormat="1" ht="20.100000000000001" customHeight="1">
      <c r="A25" s="511"/>
      <c r="B25" s="1598" t="s">
        <v>694</v>
      </c>
      <c r="C25" s="1617"/>
      <c r="D25" s="1618"/>
      <c r="E25" s="852">
        <f t="shared" si="0"/>
        <v>16640</v>
      </c>
      <c r="F25" s="922">
        <v>4655</v>
      </c>
      <c r="G25" s="960">
        <f>'T3 WPI 2022-2026'!H13</f>
        <v>2000</v>
      </c>
      <c r="H25" s="852">
        <f>'T3 WPI 2022-2026'!K13</f>
        <v>5840</v>
      </c>
      <c r="I25" s="852">
        <f>'T3 WPI 2022-2026'!N13</f>
        <v>3600</v>
      </c>
      <c r="J25" s="852">
        <f>'T3 WPI 2022-2026'!Q13</f>
        <v>2890</v>
      </c>
      <c r="K25" s="1142">
        <f>'T3 WPI 2022-2026'!T13</f>
        <v>2200</v>
      </c>
      <c r="L25" s="898">
        <f>'T3 WPI 2022-2026'!W13</f>
        <v>2110</v>
      </c>
    </row>
    <row r="26" spans="1:25" s="6" customFormat="1" ht="20.100000000000001" hidden="1" customHeight="1" outlineLevel="1">
      <c r="A26" s="511"/>
      <c r="B26" s="1608" t="s">
        <v>401</v>
      </c>
      <c r="C26" s="1609"/>
      <c r="D26" s="1610"/>
      <c r="E26" s="852">
        <f t="shared" si="0"/>
        <v>0</v>
      </c>
      <c r="F26" s="922">
        <v>620</v>
      </c>
      <c r="G26" s="960">
        <f>'T3 WPI 2022-2026'!H33</f>
        <v>245</v>
      </c>
      <c r="H26" s="852">
        <f>'T3 WPI 2022-2026'!K33</f>
        <v>0</v>
      </c>
      <c r="I26" s="852">
        <f>'T3 WPI 2022-2026'!N33</f>
        <v>0</v>
      </c>
      <c r="J26" s="852">
        <f>'T3 WPI 2022-2026'!Q33</f>
        <v>0</v>
      </c>
      <c r="K26" s="1142">
        <f>'T3 WPI 2022-2026'!U33</f>
        <v>0</v>
      </c>
      <c r="L26" s="898">
        <f>'T3 WPI 2022-2026'!W33</f>
        <v>0</v>
      </c>
    </row>
    <row r="27" spans="1:25" s="6" customFormat="1" ht="65.25" hidden="1" customHeight="1" outlineLevel="1">
      <c r="A27" s="512"/>
      <c r="B27" s="1608" t="s">
        <v>600</v>
      </c>
      <c r="C27" s="1609"/>
      <c r="D27" s="1610"/>
      <c r="E27" s="852">
        <f>H27+I27+J27+K27+L27</f>
        <v>1570</v>
      </c>
      <c r="F27" s="922">
        <v>2400</v>
      </c>
      <c r="G27" s="960">
        <f>'T3 WPI 2022-2026'!H10+'T3 WPI 2022-2026'!H11+'T3 WPI 2022-2026'!H12</f>
        <v>6710</v>
      </c>
      <c r="H27" s="852">
        <f>'T3 WPI 2022-2026'!K10+'T3 WPI 2022-2026'!K11+'T3 WPI 2022-2026'!K12</f>
        <v>1570</v>
      </c>
      <c r="I27" s="852">
        <f>'T3 WPI 2022-2026'!N10+'T3 WPI 2022-2026'!N11+'T3 WPI 2022-2026'!N12</f>
        <v>0</v>
      </c>
      <c r="J27" s="852">
        <f>'T3 WPI 2022-2026'!Q10+'T3 WPI 2022-2026'!Q11+'T3 WPI 2022-2026'!Q12</f>
        <v>0</v>
      </c>
      <c r="K27" s="1158"/>
      <c r="L27" s="898">
        <f>'T3 WPI 2022-2026'!W11+'T3 WPI 2022-2026'!W12</f>
        <v>0</v>
      </c>
    </row>
    <row r="28" spans="1:25" s="6" customFormat="1" ht="30" customHeight="1" collapsed="1">
      <c r="A28" s="957"/>
      <c r="B28" s="1595" t="s">
        <v>709</v>
      </c>
      <c r="C28" s="1596"/>
      <c r="D28" s="1597"/>
      <c r="E28" s="852">
        <f t="shared" si="0"/>
        <v>340</v>
      </c>
      <c r="F28" s="852">
        <v>0</v>
      </c>
      <c r="G28" s="960">
        <f>'T3 WPI 2022-2026'!J10</f>
        <v>2900</v>
      </c>
      <c r="H28" s="852">
        <f>'T3 WPI 2022-2026'!M10</f>
        <v>340</v>
      </c>
      <c r="I28" s="852"/>
      <c r="J28" s="852"/>
      <c r="K28" s="658"/>
      <c r="L28" s="898">
        <f>'T3 WPI 2022-2026'!W10</f>
        <v>0</v>
      </c>
    </row>
    <row r="29" spans="1:25" s="30" customFormat="1" ht="20.100000000000001" customHeight="1">
      <c r="A29" s="510">
        <v>5</v>
      </c>
      <c r="B29" s="1619" t="s">
        <v>336</v>
      </c>
      <c r="C29" s="1619"/>
      <c r="D29" s="1619"/>
      <c r="E29" s="852">
        <f t="shared" si="0"/>
        <v>183259</v>
      </c>
      <c r="F29" s="923">
        <f t="shared" ref="F29:L29" si="11">F14+F21+F24-F28</f>
        <v>42718</v>
      </c>
      <c r="G29" s="959">
        <f t="shared" si="11"/>
        <v>43414</v>
      </c>
      <c r="H29" s="691">
        <f t="shared" si="11"/>
        <v>44695</v>
      </c>
      <c r="I29" s="691">
        <f t="shared" si="11"/>
        <v>38833</v>
      </c>
      <c r="J29" s="691">
        <f>J14+J21+J24-J28</f>
        <v>36658</v>
      </c>
      <c r="K29" s="1143">
        <f t="shared" si="11"/>
        <v>27728</v>
      </c>
      <c r="L29" s="691">
        <f t="shared" si="11"/>
        <v>35345</v>
      </c>
      <c r="M29" s="1145"/>
    </row>
    <row r="30" spans="1:25" s="367" customFormat="1" ht="20.100000000000001" customHeight="1">
      <c r="A30" s="510">
        <v>6</v>
      </c>
      <c r="B30" s="1611" t="s">
        <v>618</v>
      </c>
      <c r="C30" s="1619"/>
      <c r="D30" s="1619"/>
      <c r="E30" s="852">
        <f t="shared" si="0"/>
        <v>73054</v>
      </c>
      <c r="F30" s="923">
        <f t="shared" ref="F30" si="12">F12+F19+F10+F28</f>
        <v>39590</v>
      </c>
      <c r="G30" s="959">
        <f t="shared" ref="G30:L30" si="13">G10+G12+G17+G19+G28</f>
        <v>8227</v>
      </c>
      <c r="H30" s="353">
        <f t="shared" si="13"/>
        <v>7261</v>
      </c>
      <c r="I30" s="353">
        <f t="shared" si="13"/>
        <v>24161</v>
      </c>
      <c r="J30" s="691">
        <f t="shared" si="13"/>
        <v>27441</v>
      </c>
      <c r="K30" s="691">
        <f t="shared" si="13"/>
        <v>14191</v>
      </c>
      <c r="L30" s="353">
        <f t="shared" si="13"/>
        <v>0</v>
      </c>
      <c r="M30" s="1146"/>
    </row>
    <row r="31" spans="1:25" s="30" customFormat="1" ht="20.100000000000001" customHeight="1">
      <c r="A31" s="510">
        <v>7</v>
      </c>
      <c r="B31" s="1619" t="s">
        <v>335</v>
      </c>
      <c r="C31" s="1619"/>
      <c r="D31" s="1619"/>
      <c r="E31" s="852">
        <f t="shared" si="0"/>
        <v>256313</v>
      </c>
      <c r="F31" s="923">
        <f>F29+F30</f>
        <v>82308</v>
      </c>
      <c r="G31" s="959">
        <f>G29+G30</f>
        <v>51641</v>
      </c>
      <c r="H31" s="353">
        <f>H29+H30</f>
        <v>51956</v>
      </c>
      <c r="I31" s="353">
        <f t="shared" ref="I31:L31" si="14">I29+I30</f>
        <v>62994</v>
      </c>
      <c r="J31" s="691">
        <f>J29+J30</f>
        <v>64099</v>
      </c>
      <c r="K31" s="1143">
        <f t="shared" si="14"/>
        <v>41919</v>
      </c>
      <c r="L31" s="691">
        <f t="shared" si="14"/>
        <v>35345</v>
      </c>
      <c r="M31" s="1145"/>
    </row>
    <row r="32" spans="1:25" s="30" customFormat="1" ht="15.75" customHeight="1">
      <c r="A32" s="1616" t="s">
        <v>501</v>
      </c>
      <c r="B32" s="1616"/>
      <c r="C32" s="1616"/>
      <c r="D32" s="1616"/>
      <c r="E32" s="1616"/>
      <c r="F32" s="1616"/>
      <c r="G32" s="1616"/>
      <c r="H32" s="1616"/>
      <c r="I32" s="1616"/>
      <c r="J32" s="1616"/>
      <c r="K32" s="1159"/>
      <c r="L32" s="1127"/>
    </row>
    <row r="33" spans="1:14" s="6" customFormat="1">
      <c r="A33" s="3"/>
      <c r="B33" s="3"/>
      <c r="C33" s="3"/>
      <c r="D33" s="3"/>
      <c r="E33" s="4"/>
      <c r="F33" s="924"/>
      <c r="G33" s="513"/>
      <c r="H33" s="513"/>
      <c r="I33" s="3"/>
      <c r="J33" s="1166"/>
      <c r="K33" s="1160"/>
      <c r="L33" s="915"/>
    </row>
    <row r="34" spans="1:14">
      <c r="D34" s="241"/>
      <c r="E34" s="355"/>
      <c r="F34" s="951" t="s">
        <v>223</v>
      </c>
      <c r="G34" s="953">
        <f>'T1 wodociag 2022-2026'!E90</f>
        <v>7593</v>
      </c>
      <c r="H34" s="953">
        <f>'T1 wodociag 2022-2026'!H90</f>
        <v>18865</v>
      </c>
      <c r="I34" s="953">
        <f>'T1 wodociag 2022-2026'!K90</f>
        <v>19005</v>
      </c>
      <c r="J34" s="1156">
        <f>'T1 wodociag 2022-2026'!N90</f>
        <v>16920</v>
      </c>
      <c r="K34" s="1161">
        <f>'T1 wodociag 2022-2026'!Q90</f>
        <v>8130</v>
      </c>
      <c r="L34" s="916">
        <f>SUM(G34:K34)</f>
        <v>70513</v>
      </c>
      <c r="M34" s="961" t="s">
        <v>737</v>
      </c>
    </row>
    <row r="35" spans="1:14">
      <c r="C35" s="7"/>
      <c r="D35" s="242"/>
      <c r="E35" s="356"/>
      <c r="F35" s="951" t="s">
        <v>224</v>
      </c>
      <c r="G35" s="7">
        <f>'T2 kanalizacja 2022-2026'!E95</f>
        <v>35093</v>
      </c>
      <c r="H35" s="7">
        <f>'T2 kanalizacja 2022-2026'!H95</f>
        <v>25681</v>
      </c>
      <c r="I35" s="7">
        <f>'T2 kanalizacja 2022-2026'!K95</f>
        <v>40389</v>
      </c>
      <c r="J35" s="1167">
        <f>'T2 kanalizacja 2022-2026'!N95</f>
        <v>44289</v>
      </c>
      <c r="K35" s="1162">
        <f>'T2 kanalizacja 2022-2026'!Q95</f>
        <v>31589</v>
      </c>
      <c r="L35" s="916">
        <f>SUM(G35:K35)</f>
        <v>177041</v>
      </c>
      <c r="M35" s="962">
        <f>L34+L35</f>
        <v>247554</v>
      </c>
    </row>
    <row r="36" spans="1:14">
      <c r="D36" s="242"/>
      <c r="E36" s="356"/>
      <c r="F36" s="951" t="s">
        <v>356</v>
      </c>
      <c r="G36" s="7">
        <f>'T3 WPI 2022-2026'!H34</f>
        <v>8955</v>
      </c>
      <c r="H36" s="7">
        <f>'T3 WPI 2022-2026'!K34</f>
        <v>7410</v>
      </c>
      <c r="I36" s="7">
        <f>'T3 WPI 2022-2026'!N34</f>
        <v>3600</v>
      </c>
      <c r="J36" s="1167">
        <f>'T3 WPI 2022-2026'!Q34</f>
        <v>2890</v>
      </c>
      <c r="K36" s="1162">
        <f>'T3 WPI 2022-2026'!T34</f>
        <v>2200</v>
      </c>
      <c r="L36" s="916">
        <f>SUM(G36:K36)</f>
        <v>25055</v>
      </c>
    </row>
    <row r="37" spans="1:14">
      <c r="D37" s="242"/>
      <c r="E37" s="241"/>
      <c r="F37" s="951"/>
      <c r="G37" s="953">
        <f>SUM(G34:G36)</f>
        <v>51641</v>
      </c>
      <c r="H37" s="953">
        <f t="shared" ref="H37:J37" si="15">SUM(H34:H36)</f>
        <v>51956</v>
      </c>
      <c r="I37" s="953">
        <f t="shared" si="15"/>
        <v>62994</v>
      </c>
      <c r="J37" s="1156">
        <f t="shared" si="15"/>
        <v>64099</v>
      </c>
      <c r="K37" s="1163">
        <f>SUM(K34:K36)</f>
        <v>41919</v>
      </c>
      <c r="M37" s="942" t="s">
        <v>738</v>
      </c>
    </row>
    <row r="38" spans="1:14">
      <c r="D38" s="242"/>
      <c r="E38" s="514"/>
      <c r="F38" s="952"/>
      <c r="G38" s="953"/>
      <c r="H38" s="953"/>
      <c r="I38" s="7"/>
      <c r="J38" s="1167"/>
      <c r="M38" s="941">
        <f>G37+H37+I37+J37+K37</f>
        <v>272609</v>
      </c>
      <c r="N38" s="7"/>
    </row>
    <row r="39" spans="1:14">
      <c r="D39" s="242"/>
      <c r="E39" s="514"/>
      <c r="F39" s="952"/>
      <c r="G39" s="953"/>
      <c r="H39" s="953"/>
    </row>
    <row r="40" spans="1:14">
      <c r="D40" s="242"/>
      <c r="E40" s="248"/>
      <c r="F40" s="926"/>
      <c r="G40" s="514"/>
      <c r="H40" s="514"/>
      <c r="I40" s="242"/>
      <c r="J40" s="1168"/>
      <c r="K40" s="1162"/>
    </row>
    <row r="41" spans="1:14">
      <c r="D41" s="107"/>
      <c r="E41" s="111"/>
      <c r="F41" s="928"/>
      <c r="G41" s="108"/>
      <c r="H41" s="108"/>
    </row>
    <row r="42" spans="1:14">
      <c r="D42" s="107"/>
      <c r="E42" s="108"/>
      <c r="F42" s="928"/>
      <c r="G42" s="108"/>
      <c r="H42" s="108"/>
    </row>
    <row r="43" spans="1:14">
      <c r="D43" s="107"/>
      <c r="E43" s="111"/>
      <c r="F43" s="928"/>
      <c r="G43" s="108"/>
      <c r="H43" s="108"/>
    </row>
    <row r="44" spans="1:14">
      <c r="D44" s="107"/>
      <c r="E44" s="111"/>
      <c r="F44" s="928"/>
      <c r="G44" s="108"/>
      <c r="H44" s="108"/>
    </row>
    <row r="45" spans="1:14">
      <c r="D45" s="110"/>
      <c r="E45" s="111"/>
      <c r="F45" s="928"/>
      <c r="G45" s="108"/>
      <c r="H45" s="108"/>
    </row>
    <row r="46" spans="1:14">
      <c r="D46" s="107"/>
      <c r="E46" s="111"/>
      <c r="F46" s="928"/>
      <c r="G46" s="108"/>
      <c r="H46" s="108"/>
    </row>
    <row r="47" spans="1:14">
      <c r="D47" s="107"/>
      <c r="E47" s="108"/>
      <c r="F47" s="928"/>
      <c r="G47" s="108"/>
      <c r="H47" s="108"/>
    </row>
  </sheetData>
  <mergeCells count="31">
    <mergeCell ref="A32:J32"/>
    <mergeCell ref="A9:A15"/>
    <mergeCell ref="B25:D25"/>
    <mergeCell ref="B22:D22"/>
    <mergeCell ref="C18:C19"/>
    <mergeCell ref="B14:D14"/>
    <mergeCell ref="B16:B20"/>
    <mergeCell ref="C20:D20"/>
    <mergeCell ref="B23:D23"/>
    <mergeCell ref="B24:D24"/>
    <mergeCell ref="A16:A22"/>
    <mergeCell ref="B21:D21"/>
    <mergeCell ref="B30:D30"/>
    <mergeCell ref="B31:D31"/>
    <mergeCell ref="B27:D27"/>
    <mergeCell ref="B29:D29"/>
    <mergeCell ref="B28:D28"/>
    <mergeCell ref="C16:C17"/>
    <mergeCell ref="A2:I2"/>
    <mergeCell ref="A6:A7"/>
    <mergeCell ref="B6:D7"/>
    <mergeCell ref="A3:J4"/>
    <mergeCell ref="A5:J5"/>
    <mergeCell ref="B26:D26"/>
    <mergeCell ref="B8:D8"/>
    <mergeCell ref="B15:D15"/>
    <mergeCell ref="C11:C12"/>
    <mergeCell ref="C13:D13"/>
    <mergeCell ref="B9:B13"/>
    <mergeCell ref="C9:C10"/>
    <mergeCell ref="E6:L6"/>
  </mergeCells>
  <phoneticPr fontId="6" type="noConversion"/>
  <printOptions horizontalCentered="1"/>
  <pageMargins left="0.19685039370078741" right="0.19685039370078741" top="0.39370078740157483" bottom="0.39370078740157483" header="0.39370078740157483" footer="0.39370078740157483"/>
  <pageSetup paperSize="9" scale="89" firstPageNumber="2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workbookViewId="0">
      <selection activeCell="Q13" sqref="Q13"/>
    </sheetView>
  </sheetViews>
  <sheetFormatPr defaultRowHeight="12.75"/>
  <cols>
    <col min="1" max="1" width="5.42578125" customWidth="1"/>
    <col min="2" max="2" width="61.28515625" bestFit="1" customWidth="1"/>
  </cols>
  <sheetData>
    <row r="2" spans="1:9">
      <c r="A2" t="s">
        <v>620</v>
      </c>
    </row>
    <row r="4" spans="1:9">
      <c r="A4" s="380" t="s">
        <v>621</v>
      </c>
    </row>
    <row r="6" spans="1:9" ht="15.75">
      <c r="A6" s="756" t="s">
        <v>13</v>
      </c>
      <c r="B6" s="756" t="s">
        <v>31</v>
      </c>
      <c r="C6" s="757"/>
      <c r="D6" s="756">
        <v>2018</v>
      </c>
      <c r="E6" s="756">
        <v>2019</v>
      </c>
      <c r="F6" s="756">
        <v>2020</v>
      </c>
      <c r="G6" s="756">
        <v>2021</v>
      </c>
      <c r="H6" s="756">
        <v>2022</v>
      </c>
      <c r="I6" s="756">
        <v>2023</v>
      </c>
    </row>
    <row r="7" spans="1:9">
      <c r="A7" s="755" t="s">
        <v>34</v>
      </c>
      <c r="B7" s="380" t="s">
        <v>632</v>
      </c>
      <c r="C7" s="380"/>
      <c r="D7" s="754">
        <f>SUM(D8:D11)</f>
        <v>44594</v>
      </c>
      <c r="E7" s="754" t="e">
        <f>SUM(E8:E11)</f>
        <v>#REF!</v>
      </c>
      <c r="F7" s="754" t="e">
        <f t="shared" ref="F7:I7" si="0">SUM(F8:F11)</f>
        <v>#REF!</v>
      </c>
      <c r="G7" s="754" t="e">
        <f t="shared" si="0"/>
        <v>#REF!</v>
      </c>
      <c r="H7" s="754" t="e">
        <f t="shared" si="0"/>
        <v>#REF!</v>
      </c>
      <c r="I7" s="754" t="e">
        <f t="shared" si="0"/>
        <v>#REF!</v>
      </c>
    </row>
    <row r="8" spans="1:9">
      <c r="A8">
        <v>1</v>
      </c>
      <c r="B8" t="s">
        <v>116</v>
      </c>
      <c r="D8" s="505">
        <f>'Załącznik B przepływy'!F56</f>
        <v>11821</v>
      </c>
      <c r="E8" s="505" t="e">
        <f>D34</f>
        <v>#REF!</v>
      </c>
      <c r="F8" s="505" t="e">
        <f t="shared" ref="F8:I8" si="1">E34</f>
        <v>#REF!</v>
      </c>
      <c r="G8" s="505" t="e">
        <f t="shared" si="1"/>
        <v>#REF!</v>
      </c>
      <c r="H8" s="505" t="e">
        <f t="shared" si="1"/>
        <v>#REF!</v>
      </c>
      <c r="I8" s="505" t="e">
        <f t="shared" si="1"/>
        <v>#REF!</v>
      </c>
    </row>
    <row r="9" spans="1:9">
      <c r="A9">
        <v>2</v>
      </c>
      <c r="B9" t="s">
        <v>639</v>
      </c>
      <c r="D9" s="505">
        <f>'Załącznik B przepływy'!F7</f>
        <v>2321</v>
      </c>
      <c r="E9" s="505">
        <f>'Załącznik B przepływy'!G7</f>
        <v>2963</v>
      </c>
      <c r="F9" s="505">
        <f>'Załącznik B przepływy'!H7</f>
        <v>2150</v>
      </c>
      <c r="G9" s="505">
        <f>'Załącznik B przepływy'!I7</f>
        <v>2706</v>
      </c>
      <c r="H9" s="505">
        <f>'Załącznik B przepływy'!J7</f>
        <v>550</v>
      </c>
      <c r="I9" s="505">
        <f>'Załącznik B przepływy'!K7</f>
        <v>1200</v>
      </c>
    </row>
    <row r="10" spans="1:9">
      <c r="A10">
        <v>3</v>
      </c>
      <c r="B10" t="s">
        <v>448</v>
      </c>
      <c r="D10" s="505">
        <f>'Załącznik B przepływy'!F9</f>
        <v>29650</v>
      </c>
      <c r="E10" s="505">
        <f>'Załącznik B przepływy'!G9</f>
        <v>30354</v>
      </c>
      <c r="F10" s="505">
        <f>'Załącznik B przepływy'!H9</f>
        <v>31473</v>
      </c>
      <c r="G10" s="505">
        <f>'Załącznik B przepływy'!I9</f>
        <v>33433</v>
      </c>
      <c r="H10" s="505">
        <f>'Załącznik B przepływy'!J9</f>
        <v>34650</v>
      </c>
      <c r="I10" s="505">
        <f>'Załącznik B przepływy'!K9</f>
        <v>35074</v>
      </c>
    </row>
    <row r="11" spans="1:9">
      <c r="A11">
        <v>4</v>
      </c>
      <c r="B11" t="s">
        <v>640</v>
      </c>
      <c r="D11" s="505">
        <f>SUM('Załącznik B przepływy'!F11:F19)</f>
        <v>802</v>
      </c>
      <c r="E11" s="505">
        <f>SUM('Załącznik B przepływy'!G11:G19)</f>
        <v>-1385</v>
      </c>
      <c r="F11" s="505">
        <f>SUM('Załącznik B przepływy'!H11:H19)</f>
        <v>-7282</v>
      </c>
      <c r="G11" s="505">
        <f>SUM('Załącznik B przepływy'!I11:I19)</f>
        <v>2417</v>
      </c>
      <c r="H11" s="505">
        <f>SUM('Załącznik B przepływy'!J11:J19)</f>
        <v>-2933</v>
      </c>
      <c r="I11" s="505">
        <f>SUM('Załącznik B przepływy'!K11:K19)</f>
        <v>-2748</v>
      </c>
    </row>
    <row r="12" spans="1:9">
      <c r="A12" s="751" t="s">
        <v>36</v>
      </c>
      <c r="B12" t="s">
        <v>631</v>
      </c>
    </row>
    <row r="13" spans="1:9">
      <c r="A13">
        <v>1</v>
      </c>
      <c r="B13" t="s">
        <v>630</v>
      </c>
      <c r="D13" s="505" t="e">
        <f>'T4 WPI 2022-2026'!#REF!+'T4 WPI 2022-2026'!#REF!</f>
        <v>#REF!</v>
      </c>
      <c r="E13" s="505" t="e">
        <f>'T4 WPI 2022-2026'!#REF!+'T4 WPI 2022-2026'!#REF!</f>
        <v>#REF!</v>
      </c>
      <c r="F13" s="505">
        <f>'T4 WPI 2022-2026'!F13+'T4 WPI 2022-2026'!F20</f>
        <v>49383</v>
      </c>
      <c r="G13" s="505">
        <f>'T4 WPI 2022-2026'!G13+'T4 WPI 2022-2026'!G20</f>
        <v>21136</v>
      </c>
      <c r="H13" s="505">
        <f>'T4 WPI 2022-2026'!H13+'T4 WPI 2022-2026'!H20</f>
        <v>14191</v>
      </c>
      <c r="I13" s="505">
        <f>'T4 WPI 2022-2026'!I13+'T4 WPI 2022-2026'!I20</f>
        <v>20292</v>
      </c>
    </row>
    <row r="14" spans="1:9">
      <c r="A14" s="751" t="s">
        <v>625</v>
      </c>
      <c r="B14" t="s">
        <v>626</v>
      </c>
      <c r="D14" s="505" t="e">
        <f>D13-D15-D16</f>
        <v>#REF!</v>
      </c>
      <c r="E14" s="505" t="e">
        <f t="shared" ref="E14:I14" si="2">E13-E15-E16</f>
        <v>#REF!</v>
      </c>
      <c r="F14" s="505">
        <f t="shared" si="2"/>
        <v>4655</v>
      </c>
      <c r="G14" s="505">
        <f t="shared" si="2"/>
        <v>4902</v>
      </c>
      <c r="H14" s="505">
        <f t="shared" si="2"/>
        <v>6891</v>
      </c>
      <c r="I14" s="505">
        <f t="shared" si="2"/>
        <v>19866</v>
      </c>
    </row>
    <row r="15" spans="1:9">
      <c r="A15">
        <v>2</v>
      </c>
      <c r="B15" t="s">
        <v>622</v>
      </c>
      <c r="D15" s="505">
        <f>pożyczki.dotacje!D9</f>
        <v>800</v>
      </c>
      <c r="E15" s="505">
        <f>pożyczki.dotacje!E9</f>
        <v>9435</v>
      </c>
      <c r="F15" s="505">
        <f>pożyczki.dotacje!F9</f>
        <v>13630</v>
      </c>
      <c r="G15" s="505">
        <f>pożyczki.dotacje!G9</f>
        <v>13935</v>
      </c>
      <c r="H15" s="505">
        <f>pożyczki.dotacje!H9</f>
        <v>2500</v>
      </c>
      <c r="I15" s="505">
        <f>pożyczki.dotacje!I9</f>
        <v>0</v>
      </c>
    </row>
    <row r="16" spans="1:9">
      <c r="A16">
        <v>3</v>
      </c>
      <c r="B16" t="s">
        <v>623</v>
      </c>
      <c r="D16" s="505">
        <f>pożyczki.dotacje!D43</f>
        <v>14896</v>
      </c>
      <c r="E16" s="505">
        <f>pożyczki.dotacje!E43</f>
        <v>17723</v>
      </c>
      <c r="F16" s="505">
        <f>pożyczki.dotacje!F43</f>
        <v>31098</v>
      </c>
      <c r="G16" s="505">
        <f>pożyczki.dotacje!G43</f>
        <v>2299</v>
      </c>
      <c r="H16" s="505">
        <f>pożyczki.dotacje!H43</f>
        <v>4800</v>
      </c>
      <c r="I16" s="505">
        <f>pożyczki.dotacje!I43</f>
        <v>426</v>
      </c>
    </row>
    <row r="17" spans="1:10">
      <c r="A17" s="752" t="s">
        <v>32</v>
      </c>
      <c r="B17" s="753" t="s">
        <v>636</v>
      </c>
      <c r="D17" s="758" t="e">
        <f>D7-D14</f>
        <v>#REF!</v>
      </c>
      <c r="E17" s="758" t="e">
        <f t="shared" ref="E17:I17" si="3">E7-E14</f>
        <v>#REF!</v>
      </c>
      <c r="F17" s="758" t="e">
        <f t="shared" si="3"/>
        <v>#REF!</v>
      </c>
      <c r="G17" s="758" t="e">
        <f t="shared" si="3"/>
        <v>#REF!</v>
      </c>
      <c r="H17" s="758" t="e">
        <f t="shared" si="3"/>
        <v>#REF!</v>
      </c>
      <c r="I17" s="758" t="e">
        <f t="shared" si="3"/>
        <v>#REF!</v>
      </c>
    </row>
    <row r="18" spans="1:10">
      <c r="A18" s="751" t="s">
        <v>72</v>
      </c>
      <c r="B18" t="s">
        <v>644</v>
      </c>
    </row>
    <row r="19" spans="1:10">
      <c r="A19">
        <v>1</v>
      </c>
      <c r="B19" t="s">
        <v>630</v>
      </c>
      <c r="D19" s="505" t="e">
        <f>'T4 WPI 2022-2026'!#REF!+'T4 WPI 2022-2026'!#REF!+pożyczki.dotacje!D55</f>
        <v>#REF!</v>
      </c>
      <c r="E19" s="505" t="e">
        <f>'T4 WPI 2022-2026'!#REF!+'T4 WPI 2022-2026'!#REF!+pożyczki.dotacje!E55</f>
        <v>#REF!</v>
      </c>
      <c r="F19" s="505">
        <f>'T4 WPI 2022-2026'!F9+'T4 WPI 2022-2026'!F16+pożyczki.dotacje!F55</f>
        <v>24250</v>
      </c>
      <c r="G19" s="505">
        <f>'T4 WPI 2022-2026'!G9+'T4 WPI 2022-2026'!G16+pożyczki.dotacje!G55</f>
        <v>22550</v>
      </c>
      <c r="H19" s="505">
        <f>'T4 WPI 2022-2026'!H9+'T4 WPI 2022-2026'!H16+pożyczki.dotacje!H55</f>
        <v>26655</v>
      </c>
      <c r="I19" s="505">
        <f>'T4 WPI 2022-2026'!I9+'T4 WPI 2022-2026'!I16+pożyczki.dotacje!I55</f>
        <v>31679</v>
      </c>
    </row>
    <row r="20" spans="1:10">
      <c r="A20" s="751" t="s">
        <v>625</v>
      </c>
      <c r="B20" t="s">
        <v>628</v>
      </c>
      <c r="D20" s="505" t="e">
        <f>D19-D21</f>
        <v>#REF!</v>
      </c>
      <c r="E20" s="505" t="e">
        <f t="shared" ref="E20:I20" si="4">E19-E21</f>
        <v>#REF!</v>
      </c>
      <c r="F20" s="505">
        <f t="shared" si="4"/>
        <v>24250</v>
      </c>
      <c r="G20" s="505">
        <f t="shared" si="4"/>
        <v>22550</v>
      </c>
      <c r="H20" s="505">
        <f t="shared" si="4"/>
        <v>26655</v>
      </c>
      <c r="I20" s="505">
        <f t="shared" si="4"/>
        <v>31679</v>
      </c>
    </row>
    <row r="21" spans="1:10">
      <c r="A21">
        <v>2</v>
      </c>
      <c r="B21" t="s">
        <v>622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10">
      <c r="A22" s="752" t="s">
        <v>74</v>
      </c>
      <c r="B22" s="753" t="s">
        <v>637</v>
      </c>
      <c r="D22" s="758" t="e">
        <f>D17-D20</f>
        <v>#REF!</v>
      </c>
      <c r="E22" s="758" t="e">
        <f t="shared" ref="E22:I22" si="5">E17-E20</f>
        <v>#REF!</v>
      </c>
      <c r="F22" s="758" t="e">
        <f t="shared" si="5"/>
        <v>#REF!</v>
      </c>
      <c r="G22" s="758" t="e">
        <f t="shared" si="5"/>
        <v>#REF!</v>
      </c>
      <c r="H22" s="758" t="e">
        <f t="shared" si="5"/>
        <v>#REF!</v>
      </c>
      <c r="I22" s="758" t="e">
        <f t="shared" si="5"/>
        <v>#REF!</v>
      </c>
    </row>
    <row r="23" spans="1:10">
      <c r="A23" s="751" t="s">
        <v>627</v>
      </c>
      <c r="B23" t="s">
        <v>634</v>
      </c>
    </row>
    <row r="24" spans="1:10">
      <c r="A24">
        <v>1</v>
      </c>
      <c r="B24" t="s">
        <v>624</v>
      </c>
      <c r="D24" s="505" t="e">
        <f>SUM('T3 WPI 2022-2026'!#REF!)+'T3 WPI 2022-2026'!#REF!+'T3 WPI 2022-2026'!#REF!</f>
        <v>#REF!</v>
      </c>
      <c r="E24" s="505" t="e">
        <f>SUM('T3 WPI 2022-2026'!#REF!)+'T3 WPI 2022-2026'!#REF!+'T3 WPI 2022-2026'!#REF!</f>
        <v>#REF!</v>
      </c>
      <c r="F24" s="505">
        <f>SUM('T3 WPI 2022-2026'!E11:E11)+'T3 WPI 2022-2026'!E33+'T3 WPI 2022-2026'!E10</f>
        <v>2445</v>
      </c>
      <c r="G24" s="505">
        <f>SUM('T3 WPI 2022-2026'!H11:H11)+'T3 WPI 2022-2026'!H33+'T3 WPI 2022-2026'!H10</f>
        <v>4555</v>
      </c>
      <c r="H24" s="505">
        <f>SUM('T3 WPI 2022-2026'!K11:K11)+'T3 WPI 2022-2026'!K33+'T3 WPI 2022-2026'!K10</f>
        <v>420</v>
      </c>
      <c r="I24" s="505">
        <f>SUM('T3 WPI 2022-2026'!N11:N11)+'T3 WPI 2022-2026'!N33+'T3 WPI 2022-2026'!N10</f>
        <v>0</v>
      </c>
    </row>
    <row r="25" spans="1:10">
      <c r="A25" s="751" t="s">
        <v>625</v>
      </c>
      <c r="B25" t="s">
        <v>629</v>
      </c>
      <c r="D25" s="505" t="e">
        <f>D24-D26</f>
        <v>#REF!</v>
      </c>
      <c r="E25" s="505" t="e">
        <f t="shared" ref="E25:I25" si="6">E24-E26</f>
        <v>#REF!</v>
      </c>
      <c r="F25" s="505">
        <f t="shared" si="6"/>
        <v>595</v>
      </c>
      <c r="G25" s="505">
        <f t="shared" si="6"/>
        <v>2404</v>
      </c>
      <c r="H25" s="505">
        <f t="shared" si="6"/>
        <v>-743</v>
      </c>
      <c r="I25" s="505">
        <f t="shared" si="6"/>
        <v>0</v>
      </c>
      <c r="J25" s="505"/>
    </row>
    <row r="26" spans="1:10">
      <c r="A26">
        <v>2</v>
      </c>
      <c r="B26" t="s">
        <v>622</v>
      </c>
      <c r="D26" s="505">
        <f>pożyczki.dotacje!D33</f>
        <v>15128</v>
      </c>
      <c r="E26" s="505">
        <f>pożyczki.dotacje!E33</f>
        <v>0</v>
      </c>
      <c r="F26" s="505">
        <f>pożyczki.dotacje!F33</f>
        <v>1850</v>
      </c>
      <c r="G26" s="505">
        <f>pożyczki.dotacje!G33</f>
        <v>2151</v>
      </c>
      <c r="H26" s="505">
        <f>pożyczki.dotacje!H33</f>
        <v>1163</v>
      </c>
      <c r="I26" s="505">
        <f>pożyczki.dotacje!I33</f>
        <v>0</v>
      </c>
    </row>
    <row r="27" spans="1:10">
      <c r="A27" s="752" t="s">
        <v>87</v>
      </c>
      <c r="B27" s="753" t="s">
        <v>638</v>
      </c>
      <c r="D27" s="759" t="e">
        <f>D22-D25</f>
        <v>#REF!</v>
      </c>
      <c r="E27" s="759" t="e">
        <f t="shared" ref="E27:I27" si="7">E22-E25</f>
        <v>#REF!</v>
      </c>
      <c r="F27" s="759" t="e">
        <f t="shared" si="7"/>
        <v>#REF!</v>
      </c>
      <c r="G27" s="759" t="e">
        <f t="shared" si="7"/>
        <v>#REF!</v>
      </c>
      <c r="H27" s="759" t="e">
        <f t="shared" si="7"/>
        <v>#REF!</v>
      </c>
      <c r="I27" s="759" t="e">
        <f t="shared" si="7"/>
        <v>#REF!</v>
      </c>
    </row>
    <row r="28" spans="1:10">
      <c r="A28" s="751" t="s">
        <v>633</v>
      </c>
      <c r="B28" t="s">
        <v>641</v>
      </c>
      <c r="D28" s="505">
        <f>pożyczki.dotacje!D38+pożyczki.dotacje!D39-pożyczki.dotacje!D49-pożyczki.dotacje!D50</f>
        <v>6467</v>
      </c>
      <c r="E28" s="505">
        <f>pożyczki.dotacje!E38+pożyczki.dotacje!E39-pożyczki.dotacje!E49-pożyczki.dotacje!E50</f>
        <v>6696</v>
      </c>
      <c r="F28" s="505">
        <f>pożyczki.dotacje!F38+pożyczki.dotacje!F39-pożyczki.dotacje!F49-pożyczki.dotacje!F50</f>
        <v>6550</v>
      </c>
      <c r="G28" s="505">
        <f>pożyczki.dotacje!G38+pożyczki.dotacje!G39-pożyczki.dotacje!G49-pożyczki.dotacje!G50</f>
        <v>3673</v>
      </c>
      <c r="H28" s="505">
        <f>pożyczki.dotacje!H38+pożyczki.dotacje!H39-pożyczki.dotacje!H49-pożyczki.dotacje!H50</f>
        <v>8827</v>
      </c>
      <c r="I28" s="505">
        <f>pożyczki.dotacje!I38+pożyczki.dotacje!I39-pożyczki.dotacje!I49-pożyczki.dotacje!I50</f>
        <v>8599</v>
      </c>
    </row>
    <row r="29" spans="1:10">
      <c r="A29" s="752" t="s">
        <v>103</v>
      </c>
      <c r="B29" s="753" t="s">
        <v>642</v>
      </c>
      <c r="D29" s="759" t="e">
        <f>D27-D28</f>
        <v>#REF!</v>
      </c>
      <c r="E29" s="759" t="e">
        <f t="shared" ref="E29:I29" si="8">E27-E28</f>
        <v>#REF!</v>
      </c>
      <c r="F29" s="759" t="e">
        <f t="shared" si="8"/>
        <v>#REF!</v>
      </c>
      <c r="G29" s="759" t="e">
        <f t="shared" si="8"/>
        <v>#REF!</v>
      </c>
      <c r="H29" s="759" t="e">
        <f t="shared" si="8"/>
        <v>#REF!</v>
      </c>
      <c r="I29" s="759" t="e">
        <f t="shared" si="8"/>
        <v>#REF!</v>
      </c>
    </row>
    <row r="30" spans="1:10">
      <c r="A30" s="751" t="s">
        <v>633</v>
      </c>
      <c r="B30" t="s">
        <v>635</v>
      </c>
    </row>
    <row r="31" spans="1:10">
      <c r="A31">
        <v>1</v>
      </c>
      <c r="B31" t="s">
        <v>630</v>
      </c>
      <c r="D31" s="505" t="e">
        <f>'T3 WPI 2022-2026'!#REF!</f>
        <v>#REF!</v>
      </c>
      <c r="E31" s="505" t="e">
        <f>'T3 WPI 2022-2026'!#REF!</f>
        <v>#REF!</v>
      </c>
      <c r="F31" s="505">
        <f>'T3 WPI 2022-2026'!E13</f>
        <v>1650</v>
      </c>
      <c r="G31" s="505">
        <f>'T3 WPI 2022-2026'!H13</f>
        <v>2000</v>
      </c>
      <c r="H31" s="505">
        <f>'T3 WPI 2022-2026'!K13</f>
        <v>5840</v>
      </c>
      <c r="I31" s="505">
        <f>'T3 WPI 2022-2026'!N123</f>
        <v>0</v>
      </c>
    </row>
    <row r="32" spans="1:10">
      <c r="A32" s="751" t="s">
        <v>625</v>
      </c>
      <c r="B32" t="s">
        <v>629</v>
      </c>
      <c r="D32" s="505" t="e">
        <f>D31-D33</f>
        <v>#REF!</v>
      </c>
      <c r="E32" s="505" t="e">
        <f t="shared" ref="E32:I32" si="9">E31-E33</f>
        <v>#REF!</v>
      </c>
      <c r="F32" s="505">
        <f t="shared" si="9"/>
        <v>1650</v>
      </c>
      <c r="G32" s="505">
        <f t="shared" si="9"/>
        <v>2000</v>
      </c>
      <c r="H32" s="505">
        <f t="shared" si="9"/>
        <v>5840</v>
      </c>
      <c r="I32" s="505">
        <f t="shared" si="9"/>
        <v>0</v>
      </c>
    </row>
    <row r="33" spans="1:9">
      <c r="A33">
        <v>2</v>
      </c>
      <c r="B33" t="s">
        <v>622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>
      <c r="A34" s="752" t="s">
        <v>103</v>
      </c>
      <c r="B34" s="753" t="s">
        <v>647</v>
      </c>
      <c r="D34" s="758" t="e">
        <f>D29-D32</f>
        <v>#REF!</v>
      </c>
      <c r="E34" s="758" t="e">
        <f t="shared" ref="E34:I34" si="10">E29-E32</f>
        <v>#REF!</v>
      </c>
      <c r="F34" s="758" t="e">
        <f t="shared" si="10"/>
        <v>#REF!</v>
      </c>
      <c r="G34" s="758" t="e">
        <f t="shared" si="10"/>
        <v>#REF!</v>
      </c>
      <c r="H34" s="758" t="e">
        <f t="shared" si="10"/>
        <v>#REF!</v>
      </c>
      <c r="I34" s="758" t="e">
        <f t="shared" si="10"/>
        <v>#REF!</v>
      </c>
    </row>
    <row r="36" spans="1:9">
      <c r="D36" s="754"/>
    </row>
    <row r="38" spans="1:9">
      <c r="B38" s="760" t="s">
        <v>643</v>
      </c>
      <c r="D38" s="505" t="e">
        <f>D13+D19+D24+D31</f>
        <v>#REF!</v>
      </c>
    </row>
    <row r="39" spans="1:9">
      <c r="B39" t="s">
        <v>645</v>
      </c>
      <c r="D39" s="505">
        <f>D15+D26</f>
        <v>15928</v>
      </c>
    </row>
    <row r="40" spans="1:9">
      <c r="B40" t="s">
        <v>646</v>
      </c>
      <c r="D40" s="505">
        <f>D28</f>
        <v>6467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34"/>
  <sheetViews>
    <sheetView zoomScale="85" zoomScaleNormal="85" workbookViewId="0">
      <pane ySplit="7" topLeftCell="A8" activePane="bottomLeft" state="frozen"/>
      <selection activeCell="S18" sqref="S18"/>
      <selection pane="bottomLeft" activeCell="S18" sqref="S18"/>
    </sheetView>
  </sheetViews>
  <sheetFormatPr defaultRowHeight="12.75"/>
  <cols>
    <col min="1" max="1" width="4.28515625" style="250" customWidth="1"/>
    <col min="2" max="2" width="9.140625" style="250"/>
    <col min="3" max="3" width="76.7109375" style="250" customWidth="1"/>
    <col min="4" max="24" width="8.7109375" style="250" customWidth="1"/>
    <col min="25" max="216" width="9.140625" style="250"/>
    <col min="217" max="217" width="4.28515625" style="250" customWidth="1"/>
    <col min="218" max="218" width="9.140625" style="250"/>
    <col min="219" max="219" width="71.28515625" style="250" customWidth="1"/>
    <col min="220" max="220" width="7.42578125" style="250" bestFit="1" customWidth="1"/>
    <col min="221" max="221" width="6.7109375" style="250" bestFit="1" customWidth="1"/>
    <col min="222" max="222" width="8" style="250" bestFit="1" customWidth="1"/>
    <col min="223" max="223" width="7.42578125" style="250" bestFit="1" customWidth="1"/>
    <col min="224" max="224" width="6.7109375" style="250" bestFit="1" customWidth="1"/>
    <col min="225" max="225" width="8" style="250" bestFit="1" customWidth="1"/>
    <col min="226" max="232" width="8" style="250" customWidth="1"/>
    <col min="233" max="233" width="7.42578125" style="250" bestFit="1" customWidth="1"/>
    <col min="234" max="234" width="6.7109375" style="250" bestFit="1" customWidth="1"/>
    <col min="235" max="235" width="8" style="250" bestFit="1" customWidth="1"/>
    <col min="236" max="236" width="8" style="250" customWidth="1"/>
    <col min="237" max="472" width="9.140625" style="250"/>
    <col min="473" max="473" width="4.28515625" style="250" customWidth="1"/>
    <col min="474" max="474" width="9.140625" style="250"/>
    <col min="475" max="475" width="71.28515625" style="250" customWidth="1"/>
    <col min="476" max="476" width="7.42578125" style="250" bestFit="1" customWidth="1"/>
    <col min="477" max="477" width="6.7109375" style="250" bestFit="1" customWidth="1"/>
    <col min="478" max="478" width="8" style="250" bestFit="1" customWidth="1"/>
    <col min="479" max="479" width="7.42578125" style="250" bestFit="1" customWidth="1"/>
    <col min="480" max="480" width="6.7109375" style="250" bestFit="1" customWidth="1"/>
    <col min="481" max="481" width="8" style="250" bestFit="1" customWidth="1"/>
    <col min="482" max="488" width="8" style="250" customWidth="1"/>
    <col min="489" max="489" width="7.42578125" style="250" bestFit="1" customWidth="1"/>
    <col min="490" max="490" width="6.7109375" style="250" bestFit="1" customWidth="1"/>
    <col min="491" max="491" width="8" style="250" bestFit="1" customWidth="1"/>
    <col min="492" max="492" width="8" style="250" customWidth="1"/>
    <col min="493" max="728" width="9.140625" style="250"/>
    <col min="729" max="729" width="4.28515625" style="250" customWidth="1"/>
    <col min="730" max="730" width="9.140625" style="250"/>
    <col min="731" max="731" width="71.28515625" style="250" customWidth="1"/>
    <col min="732" max="732" width="7.42578125" style="250" bestFit="1" customWidth="1"/>
    <col min="733" max="733" width="6.7109375" style="250" bestFit="1" customWidth="1"/>
    <col min="734" max="734" width="8" style="250" bestFit="1" customWidth="1"/>
    <col min="735" max="735" width="7.42578125" style="250" bestFit="1" customWidth="1"/>
    <col min="736" max="736" width="6.7109375" style="250" bestFit="1" customWidth="1"/>
    <col min="737" max="737" width="8" style="250" bestFit="1" customWidth="1"/>
    <col min="738" max="744" width="8" style="250" customWidth="1"/>
    <col min="745" max="745" width="7.42578125" style="250" bestFit="1" customWidth="1"/>
    <col min="746" max="746" width="6.7109375" style="250" bestFit="1" customWidth="1"/>
    <col min="747" max="747" width="8" style="250" bestFit="1" customWidth="1"/>
    <col min="748" max="748" width="8" style="250" customWidth="1"/>
    <col min="749" max="984" width="9.140625" style="250"/>
    <col min="985" max="985" width="4.28515625" style="250" customWidth="1"/>
    <col min="986" max="986" width="9.140625" style="250"/>
    <col min="987" max="987" width="71.28515625" style="250" customWidth="1"/>
    <col min="988" max="988" width="7.42578125" style="250" bestFit="1" customWidth="1"/>
    <col min="989" max="989" width="6.7109375" style="250" bestFit="1" customWidth="1"/>
    <col min="990" max="990" width="8" style="250" bestFit="1" customWidth="1"/>
    <col min="991" max="991" width="7.42578125" style="250" bestFit="1" customWidth="1"/>
    <col min="992" max="992" width="6.7109375" style="250" bestFit="1" customWidth="1"/>
    <col min="993" max="993" width="8" style="250" bestFit="1" customWidth="1"/>
    <col min="994" max="1000" width="8" style="250" customWidth="1"/>
    <col min="1001" max="1001" width="7.42578125" style="250" bestFit="1" customWidth="1"/>
    <col min="1002" max="1002" width="6.7109375" style="250" bestFit="1" customWidth="1"/>
    <col min="1003" max="1003" width="8" style="250" bestFit="1" customWidth="1"/>
    <col min="1004" max="1004" width="8" style="250" customWidth="1"/>
    <col min="1005" max="1240" width="9.140625" style="250"/>
    <col min="1241" max="1241" width="4.28515625" style="250" customWidth="1"/>
    <col min="1242" max="1242" width="9.140625" style="250"/>
    <col min="1243" max="1243" width="71.28515625" style="250" customWidth="1"/>
    <col min="1244" max="1244" width="7.42578125" style="250" bestFit="1" customWidth="1"/>
    <col min="1245" max="1245" width="6.7109375" style="250" bestFit="1" customWidth="1"/>
    <col min="1246" max="1246" width="8" style="250" bestFit="1" customWidth="1"/>
    <col min="1247" max="1247" width="7.42578125" style="250" bestFit="1" customWidth="1"/>
    <col min="1248" max="1248" width="6.7109375" style="250" bestFit="1" customWidth="1"/>
    <col min="1249" max="1249" width="8" style="250" bestFit="1" customWidth="1"/>
    <col min="1250" max="1256" width="8" style="250" customWidth="1"/>
    <col min="1257" max="1257" width="7.42578125" style="250" bestFit="1" customWidth="1"/>
    <col min="1258" max="1258" width="6.7109375" style="250" bestFit="1" customWidth="1"/>
    <col min="1259" max="1259" width="8" style="250" bestFit="1" customWidth="1"/>
    <col min="1260" max="1260" width="8" style="250" customWidth="1"/>
    <col min="1261" max="1496" width="9.140625" style="250"/>
    <col min="1497" max="1497" width="4.28515625" style="250" customWidth="1"/>
    <col min="1498" max="1498" width="9.140625" style="250"/>
    <col min="1499" max="1499" width="71.28515625" style="250" customWidth="1"/>
    <col min="1500" max="1500" width="7.42578125" style="250" bestFit="1" customWidth="1"/>
    <col min="1501" max="1501" width="6.7109375" style="250" bestFit="1" customWidth="1"/>
    <col min="1502" max="1502" width="8" style="250" bestFit="1" customWidth="1"/>
    <col min="1503" max="1503" width="7.42578125" style="250" bestFit="1" customWidth="1"/>
    <col min="1504" max="1504" width="6.7109375" style="250" bestFit="1" customWidth="1"/>
    <col min="1505" max="1505" width="8" style="250" bestFit="1" customWidth="1"/>
    <col min="1506" max="1512" width="8" style="250" customWidth="1"/>
    <col min="1513" max="1513" width="7.42578125" style="250" bestFit="1" customWidth="1"/>
    <col min="1514" max="1514" width="6.7109375" style="250" bestFit="1" customWidth="1"/>
    <col min="1515" max="1515" width="8" style="250" bestFit="1" customWidth="1"/>
    <col min="1516" max="1516" width="8" style="250" customWidth="1"/>
    <col min="1517" max="1752" width="9.140625" style="250"/>
    <col min="1753" max="1753" width="4.28515625" style="250" customWidth="1"/>
    <col min="1754" max="1754" width="9.140625" style="250"/>
    <col min="1755" max="1755" width="71.28515625" style="250" customWidth="1"/>
    <col min="1756" max="1756" width="7.42578125" style="250" bestFit="1" customWidth="1"/>
    <col min="1757" max="1757" width="6.7109375" style="250" bestFit="1" customWidth="1"/>
    <col min="1758" max="1758" width="8" style="250" bestFit="1" customWidth="1"/>
    <col min="1759" max="1759" width="7.42578125" style="250" bestFit="1" customWidth="1"/>
    <col min="1760" max="1760" width="6.7109375" style="250" bestFit="1" customWidth="1"/>
    <col min="1761" max="1761" width="8" style="250" bestFit="1" customWidth="1"/>
    <col min="1762" max="1768" width="8" style="250" customWidth="1"/>
    <col min="1769" max="1769" width="7.42578125" style="250" bestFit="1" customWidth="1"/>
    <col min="1770" max="1770" width="6.7109375" style="250" bestFit="1" customWidth="1"/>
    <col min="1771" max="1771" width="8" style="250" bestFit="1" customWidth="1"/>
    <col min="1772" max="1772" width="8" style="250" customWidth="1"/>
    <col min="1773" max="2008" width="9.140625" style="250"/>
    <col min="2009" max="2009" width="4.28515625" style="250" customWidth="1"/>
    <col min="2010" max="2010" width="9.140625" style="250"/>
    <col min="2011" max="2011" width="71.28515625" style="250" customWidth="1"/>
    <col min="2012" max="2012" width="7.42578125" style="250" bestFit="1" customWidth="1"/>
    <col min="2013" max="2013" width="6.7109375" style="250" bestFit="1" customWidth="1"/>
    <col min="2014" max="2014" width="8" style="250" bestFit="1" customWidth="1"/>
    <col min="2015" max="2015" width="7.42578125" style="250" bestFit="1" customWidth="1"/>
    <col min="2016" max="2016" width="6.7109375" style="250" bestFit="1" customWidth="1"/>
    <col min="2017" max="2017" width="8" style="250" bestFit="1" customWidth="1"/>
    <col min="2018" max="2024" width="8" style="250" customWidth="1"/>
    <col min="2025" max="2025" width="7.42578125" style="250" bestFit="1" customWidth="1"/>
    <col min="2026" max="2026" width="6.7109375" style="250" bestFit="1" customWidth="1"/>
    <col min="2027" max="2027" width="8" style="250" bestFit="1" customWidth="1"/>
    <col min="2028" max="2028" width="8" style="250" customWidth="1"/>
    <col min="2029" max="2264" width="9.140625" style="250"/>
    <col min="2265" max="2265" width="4.28515625" style="250" customWidth="1"/>
    <col min="2266" max="2266" width="9.140625" style="250"/>
    <col min="2267" max="2267" width="71.28515625" style="250" customWidth="1"/>
    <col min="2268" max="2268" width="7.42578125" style="250" bestFit="1" customWidth="1"/>
    <col min="2269" max="2269" width="6.7109375" style="250" bestFit="1" customWidth="1"/>
    <col min="2270" max="2270" width="8" style="250" bestFit="1" customWidth="1"/>
    <col min="2271" max="2271" width="7.42578125" style="250" bestFit="1" customWidth="1"/>
    <col min="2272" max="2272" width="6.7109375" style="250" bestFit="1" customWidth="1"/>
    <col min="2273" max="2273" width="8" style="250" bestFit="1" customWidth="1"/>
    <col min="2274" max="2280" width="8" style="250" customWidth="1"/>
    <col min="2281" max="2281" width="7.42578125" style="250" bestFit="1" customWidth="1"/>
    <col min="2282" max="2282" width="6.7109375" style="250" bestFit="1" customWidth="1"/>
    <col min="2283" max="2283" width="8" style="250" bestFit="1" customWidth="1"/>
    <col min="2284" max="2284" width="8" style="250" customWidth="1"/>
    <col min="2285" max="2520" width="9.140625" style="250"/>
    <col min="2521" max="2521" width="4.28515625" style="250" customWidth="1"/>
    <col min="2522" max="2522" width="9.140625" style="250"/>
    <col min="2523" max="2523" width="71.28515625" style="250" customWidth="1"/>
    <col min="2524" max="2524" width="7.42578125" style="250" bestFit="1" customWidth="1"/>
    <col min="2525" max="2525" width="6.7109375" style="250" bestFit="1" customWidth="1"/>
    <col min="2526" max="2526" width="8" style="250" bestFit="1" customWidth="1"/>
    <col min="2527" max="2527" width="7.42578125" style="250" bestFit="1" customWidth="1"/>
    <col min="2528" max="2528" width="6.7109375" style="250" bestFit="1" customWidth="1"/>
    <col min="2529" max="2529" width="8" style="250" bestFit="1" customWidth="1"/>
    <col min="2530" max="2536" width="8" style="250" customWidth="1"/>
    <col min="2537" max="2537" width="7.42578125" style="250" bestFit="1" customWidth="1"/>
    <col min="2538" max="2538" width="6.7109375" style="250" bestFit="1" customWidth="1"/>
    <col min="2539" max="2539" width="8" style="250" bestFit="1" customWidth="1"/>
    <col min="2540" max="2540" width="8" style="250" customWidth="1"/>
    <col min="2541" max="2776" width="9.140625" style="250"/>
    <col min="2777" max="2777" width="4.28515625" style="250" customWidth="1"/>
    <col min="2778" max="2778" width="9.140625" style="250"/>
    <col min="2779" max="2779" width="71.28515625" style="250" customWidth="1"/>
    <col min="2780" max="2780" width="7.42578125" style="250" bestFit="1" customWidth="1"/>
    <col min="2781" max="2781" width="6.7109375" style="250" bestFit="1" customWidth="1"/>
    <col min="2782" max="2782" width="8" style="250" bestFit="1" customWidth="1"/>
    <col min="2783" max="2783" width="7.42578125" style="250" bestFit="1" customWidth="1"/>
    <col min="2784" max="2784" width="6.7109375" style="250" bestFit="1" customWidth="1"/>
    <col min="2785" max="2785" width="8" style="250" bestFit="1" customWidth="1"/>
    <col min="2786" max="2792" width="8" style="250" customWidth="1"/>
    <col min="2793" max="2793" width="7.42578125" style="250" bestFit="1" customWidth="1"/>
    <col min="2794" max="2794" width="6.7109375" style="250" bestFit="1" customWidth="1"/>
    <col min="2795" max="2795" width="8" style="250" bestFit="1" customWidth="1"/>
    <col min="2796" max="2796" width="8" style="250" customWidth="1"/>
    <col min="2797" max="3032" width="9.140625" style="250"/>
    <col min="3033" max="3033" width="4.28515625" style="250" customWidth="1"/>
    <col min="3034" max="3034" width="9.140625" style="250"/>
    <col min="3035" max="3035" width="71.28515625" style="250" customWidth="1"/>
    <col min="3036" max="3036" width="7.42578125" style="250" bestFit="1" customWidth="1"/>
    <col min="3037" max="3037" width="6.7109375" style="250" bestFit="1" customWidth="1"/>
    <col min="3038" max="3038" width="8" style="250" bestFit="1" customWidth="1"/>
    <col min="3039" max="3039" width="7.42578125" style="250" bestFit="1" customWidth="1"/>
    <col min="3040" max="3040" width="6.7109375" style="250" bestFit="1" customWidth="1"/>
    <col min="3041" max="3041" width="8" style="250" bestFit="1" customWidth="1"/>
    <col min="3042" max="3048" width="8" style="250" customWidth="1"/>
    <col min="3049" max="3049" width="7.42578125" style="250" bestFit="1" customWidth="1"/>
    <col min="3050" max="3050" width="6.7109375" style="250" bestFit="1" customWidth="1"/>
    <col min="3051" max="3051" width="8" style="250" bestFit="1" customWidth="1"/>
    <col min="3052" max="3052" width="8" style="250" customWidth="1"/>
    <col min="3053" max="3288" width="9.140625" style="250"/>
    <col min="3289" max="3289" width="4.28515625" style="250" customWidth="1"/>
    <col min="3290" max="3290" width="9.140625" style="250"/>
    <col min="3291" max="3291" width="71.28515625" style="250" customWidth="1"/>
    <col min="3292" max="3292" width="7.42578125" style="250" bestFit="1" customWidth="1"/>
    <col min="3293" max="3293" width="6.7109375" style="250" bestFit="1" customWidth="1"/>
    <col min="3294" max="3294" width="8" style="250" bestFit="1" customWidth="1"/>
    <col min="3295" max="3295" width="7.42578125" style="250" bestFit="1" customWidth="1"/>
    <col min="3296" max="3296" width="6.7109375" style="250" bestFit="1" customWidth="1"/>
    <col min="3297" max="3297" width="8" style="250" bestFit="1" customWidth="1"/>
    <col min="3298" max="3304" width="8" style="250" customWidth="1"/>
    <col min="3305" max="3305" width="7.42578125" style="250" bestFit="1" customWidth="1"/>
    <col min="3306" max="3306" width="6.7109375" style="250" bestFit="1" customWidth="1"/>
    <col min="3307" max="3307" width="8" style="250" bestFit="1" customWidth="1"/>
    <col min="3308" max="3308" width="8" style="250" customWidth="1"/>
    <col min="3309" max="3544" width="9.140625" style="250"/>
    <col min="3545" max="3545" width="4.28515625" style="250" customWidth="1"/>
    <col min="3546" max="3546" width="9.140625" style="250"/>
    <col min="3547" max="3547" width="71.28515625" style="250" customWidth="1"/>
    <col min="3548" max="3548" width="7.42578125" style="250" bestFit="1" customWidth="1"/>
    <col min="3549" max="3549" width="6.7109375" style="250" bestFit="1" customWidth="1"/>
    <col min="3550" max="3550" width="8" style="250" bestFit="1" customWidth="1"/>
    <col min="3551" max="3551" width="7.42578125" style="250" bestFit="1" customWidth="1"/>
    <col min="3552" max="3552" width="6.7109375" style="250" bestFit="1" customWidth="1"/>
    <col min="3553" max="3553" width="8" style="250" bestFit="1" customWidth="1"/>
    <col min="3554" max="3560" width="8" style="250" customWidth="1"/>
    <col min="3561" max="3561" width="7.42578125" style="250" bestFit="1" customWidth="1"/>
    <col min="3562" max="3562" width="6.7109375" style="250" bestFit="1" customWidth="1"/>
    <col min="3563" max="3563" width="8" style="250" bestFit="1" customWidth="1"/>
    <col min="3564" max="3564" width="8" style="250" customWidth="1"/>
    <col min="3565" max="3800" width="9.140625" style="250"/>
    <col min="3801" max="3801" width="4.28515625" style="250" customWidth="1"/>
    <col min="3802" max="3802" width="9.140625" style="250"/>
    <col min="3803" max="3803" width="71.28515625" style="250" customWidth="1"/>
    <col min="3804" max="3804" width="7.42578125" style="250" bestFit="1" customWidth="1"/>
    <col min="3805" max="3805" width="6.7109375" style="250" bestFit="1" customWidth="1"/>
    <col min="3806" max="3806" width="8" style="250" bestFit="1" customWidth="1"/>
    <col min="3807" max="3807" width="7.42578125" style="250" bestFit="1" customWidth="1"/>
    <col min="3808" max="3808" width="6.7109375" style="250" bestFit="1" customWidth="1"/>
    <col min="3809" max="3809" width="8" style="250" bestFit="1" customWidth="1"/>
    <col min="3810" max="3816" width="8" style="250" customWidth="1"/>
    <col min="3817" max="3817" width="7.42578125" style="250" bestFit="1" customWidth="1"/>
    <col min="3818" max="3818" width="6.7109375" style="250" bestFit="1" customWidth="1"/>
    <col min="3819" max="3819" width="8" style="250" bestFit="1" customWidth="1"/>
    <col min="3820" max="3820" width="8" style="250" customWidth="1"/>
    <col min="3821" max="4056" width="9.140625" style="250"/>
    <col min="4057" max="4057" width="4.28515625" style="250" customWidth="1"/>
    <col min="4058" max="4058" width="9.140625" style="250"/>
    <col min="4059" max="4059" width="71.28515625" style="250" customWidth="1"/>
    <col min="4060" max="4060" width="7.42578125" style="250" bestFit="1" customWidth="1"/>
    <col min="4061" max="4061" width="6.7109375" style="250" bestFit="1" customWidth="1"/>
    <col min="4062" max="4062" width="8" style="250" bestFit="1" customWidth="1"/>
    <col min="4063" max="4063" width="7.42578125" style="250" bestFit="1" customWidth="1"/>
    <col min="4064" max="4064" width="6.7109375" style="250" bestFit="1" customWidth="1"/>
    <col min="4065" max="4065" width="8" style="250" bestFit="1" customWidth="1"/>
    <col min="4066" max="4072" width="8" style="250" customWidth="1"/>
    <col min="4073" max="4073" width="7.42578125" style="250" bestFit="1" customWidth="1"/>
    <col min="4074" max="4074" width="6.7109375" style="250" bestFit="1" customWidth="1"/>
    <col min="4075" max="4075" width="8" style="250" bestFit="1" customWidth="1"/>
    <col min="4076" max="4076" width="8" style="250" customWidth="1"/>
    <col min="4077" max="4312" width="9.140625" style="250"/>
    <col min="4313" max="4313" width="4.28515625" style="250" customWidth="1"/>
    <col min="4314" max="4314" width="9.140625" style="250"/>
    <col min="4315" max="4315" width="71.28515625" style="250" customWidth="1"/>
    <col min="4316" max="4316" width="7.42578125" style="250" bestFit="1" customWidth="1"/>
    <col min="4317" max="4317" width="6.7109375" style="250" bestFit="1" customWidth="1"/>
    <col min="4318" max="4318" width="8" style="250" bestFit="1" customWidth="1"/>
    <col min="4319" max="4319" width="7.42578125" style="250" bestFit="1" customWidth="1"/>
    <col min="4320" max="4320" width="6.7109375" style="250" bestFit="1" customWidth="1"/>
    <col min="4321" max="4321" width="8" style="250" bestFit="1" customWidth="1"/>
    <col min="4322" max="4328" width="8" style="250" customWidth="1"/>
    <col min="4329" max="4329" width="7.42578125" style="250" bestFit="1" customWidth="1"/>
    <col min="4330" max="4330" width="6.7109375" style="250" bestFit="1" customWidth="1"/>
    <col min="4331" max="4331" width="8" style="250" bestFit="1" customWidth="1"/>
    <col min="4332" max="4332" width="8" style="250" customWidth="1"/>
    <col min="4333" max="4568" width="9.140625" style="250"/>
    <col min="4569" max="4569" width="4.28515625" style="250" customWidth="1"/>
    <col min="4570" max="4570" width="9.140625" style="250"/>
    <col min="4571" max="4571" width="71.28515625" style="250" customWidth="1"/>
    <col min="4572" max="4572" width="7.42578125" style="250" bestFit="1" customWidth="1"/>
    <col min="4573" max="4573" width="6.7109375" style="250" bestFit="1" customWidth="1"/>
    <col min="4574" max="4574" width="8" style="250" bestFit="1" customWidth="1"/>
    <col min="4575" max="4575" width="7.42578125" style="250" bestFit="1" customWidth="1"/>
    <col min="4576" max="4576" width="6.7109375" style="250" bestFit="1" customWidth="1"/>
    <col min="4577" max="4577" width="8" style="250" bestFit="1" customWidth="1"/>
    <col min="4578" max="4584" width="8" style="250" customWidth="1"/>
    <col min="4585" max="4585" width="7.42578125" style="250" bestFit="1" customWidth="1"/>
    <col min="4586" max="4586" width="6.7109375" style="250" bestFit="1" customWidth="1"/>
    <col min="4587" max="4587" width="8" style="250" bestFit="1" customWidth="1"/>
    <col min="4588" max="4588" width="8" style="250" customWidth="1"/>
    <col min="4589" max="4824" width="9.140625" style="250"/>
    <col min="4825" max="4825" width="4.28515625" style="250" customWidth="1"/>
    <col min="4826" max="4826" width="9.140625" style="250"/>
    <col min="4827" max="4827" width="71.28515625" style="250" customWidth="1"/>
    <col min="4828" max="4828" width="7.42578125" style="250" bestFit="1" customWidth="1"/>
    <col min="4829" max="4829" width="6.7109375" style="250" bestFit="1" customWidth="1"/>
    <col min="4830" max="4830" width="8" style="250" bestFit="1" customWidth="1"/>
    <col min="4831" max="4831" width="7.42578125" style="250" bestFit="1" customWidth="1"/>
    <col min="4832" max="4832" width="6.7109375" style="250" bestFit="1" customWidth="1"/>
    <col min="4833" max="4833" width="8" style="250" bestFit="1" customWidth="1"/>
    <col min="4834" max="4840" width="8" style="250" customWidth="1"/>
    <col min="4841" max="4841" width="7.42578125" style="250" bestFit="1" customWidth="1"/>
    <col min="4842" max="4842" width="6.7109375" style="250" bestFit="1" customWidth="1"/>
    <col min="4843" max="4843" width="8" style="250" bestFit="1" customWidth="1"/>
    <col min="4844" max="4844" width="8" style="250" customWidth="1"/>
    <col min="4845" max="5080" width="9.140625" style="250"/>
    <col min="5081" max="5081" width="4.28515625" style="250" customWidth="1"/>
    <col min="5082" max="5082" width="9.140625" style="250"/>
    <col min="5083" max="5083" width="71.28515625" style="250" customWidth="1"/>
    <col min="5084" max="5084" width="7.42578125" style="250" bestFit="1" customWidth="1"/>
    <col min="5085" max="5085" width="6.7109375" style="250" bestFit="1" customWidth="1"/>
    <col min="5086" max="5086" width="8" style="250" bestFit="1" customWidth="1"/>
    <col min="5087" max="5087" width="7.42578125" style="250" bestFit="1" customWidth="1"/>
    <col min="5088" max="5088" width="6.7109375" style="250" bestFit="1" customWidth="1"/>
    <col min="5089" max="5089" width="8" style="250" bestFit="1" customWidth="1"/>
    <col min="5090" max="5096" width="8" style="250" customWidth="1"/>
    <col min="5097" max="5097" width="7.42578125" style="250" bestFit="1" customWidth="1"/>
    <col min="5098" max="5098" width="6.7109375" style="250" bestFit="1" customWidth="1"/>
    <col min="5099" max="5099" width="8" style="250" bestFit="1" customWidth="1"/>
    <col min="5100" max="5100" width="8" style="250" customWidth="1"/>
    <col min="5101" max="5336" width="9.140625" style="250"/>
    <col min="5337" max="5337" width="4.28515625" style="250" customWidth="1"/>
    <col min="5338" max="5338" width="9.140625" style="250"/>
    <col min="5339" max="5339" width="71.28515625" style="250" customWidth="1"/>
    <col min="5340" max="5340" width="7.42578125" style="250" bestFit="1" customWidth="1"/>
    <col min="5341" max="5341" width="6.7109375" style="250" bestFit="1" customWidth="1"/>
    <col min="5342" max="5342" width="8" style="250" bestFit="1" customWidth="1"/>
    <col min="5343" max="5343" width="7.42578125" style="250" bestFit="1" customWidth="1"/>
    <col min="5344" max="5344" width="6.7109375" style="250" bestFit="1" customWidth="1"/>
    <col min="5345" max="5345" width="8" style="250" bestFit="1" customWidth="1"/>
    <col min="5346" max="5352" width="8" style="250" customWidth="1"/>
    <col min="5353" max="5353" width="7.42578125" style="250" bestFit="1" customWidth="1"/>
    <col min="5354" max="5354" width="6.7109375" style="250" bestFit="1" customWidth="1"/>
    <col min="5355" max="5355" width="8" style="250" bestFit="1" customWidth="1"/>
    <col min="5356" max="5356" width="8" style="250" customWidth="1"/>
    <col min="5357" max="5592" width="9.140625" style="250"/>
    <col min="5593" max="5593" width="4.28515625" style="250" customWidth="1"/>
    <col min="5594" max="5594" width="9.140625" style="250"/>
    <col min="5595" max="5595" width="71.28515625" style="250" customWidth="1"/>
    <col min="5596" max="5596" width="7.42578125" style="250" bestFit="1" customWidth="1"/>
    <col min="5597" max="5597" width="6.7109375" style="250" bestFit="1" customWidth="1"/>
    <col min="5598" max="5598" width="8" style="250" bestFit="1" customWidth="1"/>
    <col min="5599" max="5599" width="7.42578125" style="250" bestFit="1" customWidth="1"/>
    <col min="5600" max="5600" width="6.7109375" style="250" bestFit="1" customWidth="1"/>
    <col min="5601" max="5601" width="8" style="250" bestFit="1" customWidth="1"/>
    <col min="5602" max="5608" width="8" style="250" customWidth="1"/>
    <col min="5609" max="5609" width="7.42578125" style="250" bestFit="1" customWidth="1"/>
    <col min="5610" max="5610" width="6.7109375" style="250" bestFit="1" customWidth="1"/>
    <col min="5611" max="5611" width="8" style="250" bestFit="1" customWidth="1"/>
    <col min="5612" max="5612" width="8" style="250" customWidth="1"/>
    <col min="5613" max="5848" width="9.140625" style="250"/>
    <col min="5849" max="5849" width="4.28515625" style="250" customWidth="1"/>
    <col min="5850" max="5850" width="9.140625" style="250"/>
    <col min="5851" max="5851" width="71.28515625" style="250" customWidth="1"/>
    <col min="5852" max="5852" width="7.42578125" style="250" bestFit="1" customWidth="1"/>
    <col min="5853" max="5853" width="6.7109375" style="250" bestFit="1" customWidth="1"/>
    <col min="5854" max="5854" width="8" style="250" bestFit="1" customWidth="1"/>
    <col min="5855" max="5855" width="7.42578125" style="250" bestFit="1" customWidth="1"/>
    <col min="5856" max="5856" width="6.7109375" style="250" bestFit="1" customWidth="1"/>
    <col min="5857" max="5857" width="8" style="250" bestFit="1" customWidth="1"/>
    <col min="5858" max="5864" width="8" style="250" customWidth="1"/>
    <col min="5865" max="5865" width="7.42578125" style="250" bestFit="1" customWidth="1"/>
    <col min="5866" max="5866" width="6.7109375" style="250" bestFit="1" customWidth="1"/>
    <col min="5867" max="5867" width="8" style="250" bestFit="1" customWidth="1"/>
    <col min="5868" max="5868" width="8" style="250" customWidth="1"/>
    <col min="5869" max="6104" width="9.140625" style="250"/>
    <col min="6105" max="6105" width="4.28515625" style="250" customWidth="1"/>
    <col min="6106" max="6106" width="9.140625" style="250"/>
    <col min="6107" max="6107" width="71.28515625" style="250" customWidth="1"/>
    <col min="6108" max="6108" width="7.42578125" style="250" bestFit="1" customWidth="1"/>
    <col min="6109" max="6109" width="6.7109375" style="250" bestFit="1" customWidth="1"/>
    <col min="6110" max="6110" width="8" style="250" bestFit="1" customWidth="1"/>
    <col min="6111" max="6111" width="7.42578125" style="250" bestFit="1" customWidth="1"/>
    <col min="6112" max="6112" width="6.7109375" style="250" bestFit="1" customWidth="1"/>
    <col min="6113" max="6113" width="8" style="250" bestFit="1" customWidth="1"/>
    <col min="6114" max="6120" width="8" style="250" customWidth="1"/>
    <col min="6121" max="6121" width="7.42578125" style="250" bestFit="1" customWidth="1"/>
    <col min="6122" max="6122" width="6.7109375" style="250" bestFit="1" customWidth="1"/>
    <col min="6123" max="6123" width="8" style="250" bestFit="1" customWidth="1"/>
    <col min="6124" max="6124" width="8" style="250" customWidth="1"/>
    <col min="6125" max="6360" width="9.140625" style="250"/>
    <col min="6361" max="6361" width="4.28515625" style="250" customWidth="1"/>
    <col min="6362" max="6362" width="9.140625" style="250"/>
    <col min="6363" max="6363" width="71.28515625" style="250" customWidth="1"/>
    <col min="6364" max="6364" width="7.42578125" style="250" bestFit="1" customWidth="1"/>
    <col min="6365" max="6365" width="6.7109375" style="250" bestFit="1" customWidth="1"/>
    <col min="6366" max="6366" width="8" style="250" bestFit="1" customWidth="1"/>
    <col min="6367" max="6367" width="7.42578125" style="250" bestFit="1" customWidth="1"/>
    <col min="6368" max="6368" width="6.7109375" style="250" bestFit="1" customWidth="1"/>
    <col min="6369" max="6369" width="8" style="250" bestFit="1" customWidth="1"/>
    <col min="6370" max="6376" width="8" style="250" customWidth="1"/>
    <col min="6377" max="6377" width="7.42578125" style="250" bestFit="1" customWidth="1"/>
    <col min="6378" max="6378" width="6.7109375" style="250" bestFit="1" customWidth="1"/>
    <col min="6379" max="6379" width="8" style="250" bestFit="1" customWidth="1"/>
    <col min="6380" max="6380" width="8" style="250" customWidth="1"/>
    <col min="6381" max="6616" width="9.140625" style="250"/>
    <col min="6617" max="6617" width="4.28515625" style="250" customWidth="1"/>
    <col min="6618" max="6618" width="9.140625" style="250"/>
    <col min="6619" max="6619" width="71.28515625" style="250" customWidth="1"/>
    <col min="6620" max="6620" width="7.42578125" style="250" bestFit="1" customWidth="1"/>
    <col min="6621" max="6621" width="6.7109375" style="250" bestFit="1" customWidth="1"/>
    <col min="6622" max="6622" width="8" style="250" bestFit="1" customWidth="1"/>
    <col min="6623" max="6623" width="7.42578125" style="250" bestFit="1" customWidth="1"/>
    <col min="6624" max="6624" width="6.7109375" style="250" bestFit="1" customWidth="1"/>
    <col min="6625" max="6625" width="8" style="250" bestFit="1" customWidth="1"/>
    <col min="6626" max="6632" width="8" style="250" customWidth="1"/>
    <col min="6633" max="6633" width="7.42578125" style="250" bestFit="1" customWidth="1"/>
    <col min="6634" max="6634" width="6.7109375" style="250" bestFit="1" customWidth="1"/>
    <col min="6635" max="6635" width="8" style="250" bestFit="1" customWidth="1"/>
    <col min="6636" max="6636" width="8" style="250" customWidth="1"/>
    <col min="6637" max="6872" width="9.140625" style="250"/>
    <col min="6873" max="6873" width="4.28515625" style="250" customWidth="1"/>
    <col min="6874" max="6874" width="9.140625" style="250"/>
    <col min="6875" max="6875" width="71.28515625" style="250" customWidth="1"/>
    <col min="6876" max="6876" width="7.42578125" style="250" bestFit="1" customWidth="1"/>
    <col min="6877" max="6877" width="6.7109375" style="250" bestFit="1" customWidth="1"/>
    <col min="6878" max="6878" width="8" style="250" bestFit="1" customWidth="1"/>
    <col min="6879" max="6879" width="7.42578125" style="250" bestFit="1" customWidth="1"/>
    <col min="6880" max="6880" width="6.7109375" style="250" bestFit="1" customWidth="1"/>
    <col min="6881" max="6881" width="8" style="250" bestFit="1" customWidth="1"/>
    <col min="6882" max="6888" width="8" style="250" customWidth="1"/>
    <col min="6889" max="6889" width="7.42578125" style="250" bestFit="1" customWidth="1"/>
    <col min="6890" max="6890" width="6.7109375" style="250" bestFit="1" customWidth="1"/>
    <col min="6891" max="6891" width="8" style="250" bestFit="1" customWidth="1"/>
    <col min="6892" max="6892" width="8" style="250" customWidth="1"/>
    <col min="6893" max="7128" width="9.140625" style="250"/>
    <col min="7129" max="7129" width="4.28515625" style="250" customWidth="1"/>
    <col min="7130" max="7130" width="9.140625" style="250"/>
    <col min="7131" max="7131" width="71.28515625" style="250" customWidth="1"/>
    <col min="7132" max="7132" width="7.42578125" style="250" bestFit="1" customWidth="1"/>
    <col min="7133" max="7133" width="6.7109375" style="250" bestFit="1" customWidth="1"/>
    <col min="7134" max="7134" width="8" style="250" bestFit="1" customWidth="1"/>
    <col min="7135" max="7135" width="7.42578125" style="250" bestFit="1" customWidth="1"/>
    <col min="7136" max="7136" width="6.7109375" style="250" bestFit="1" customWidth="1"/>
    <col min="7137" max="7137" width="8" style="250" bestFit="1" customWidth="1"/>
    <col min="7138" max="7144" width="8" style="250" customWidth="1"/>
    <col min="7145" max="7145" width="7.42578125" style="250" bestFit="1" customWidth="1"/>
    <col min="7146" max="7146" width="6.7109375" style="250" bestFit="1" customWidth="1"/>
    <col min="7147" max="7147" width="8" style="250" bestFit="1" customWidth="1"/>
    <col min="7148" max="7148" width="8" style="250" customWidth="1"/>
    <col min="7149" max="7384" width="9.140625" style="250"/>
    <col min="7385" max="7385" width="4.28515625" style="250" customWidth="1"/>
    <col min="7386" max="7386" width="9.140625" style="250"/>
    <col min="7387" max="7387" width="71.28515625" style="250" customWidth="1"/>
    <col min="7388" max="7388" width="7.42578125" style="250" bestFit="1" customWidth="1"/>
    <col min="7389" max="7389" width="6.7109375" style="250" bestFit="1" customWidth="1"/>
    <col min="7390" max="7390" width="8" style="250" bestFit="1" customWidth="1"/>
    <col min="7391" max="7391" width="7.42578125" style="250" bestFit="1" customWidth="1"/>
    <col min="7392" max="7392" width="6.7109375" style="250" bestFit="1" customWidth="1"/>
    <col min="7393" max="7393" width="8" style="250" bestFit="1" customWidth="1"/>
    <col min="7394" max="7400" width="8" style="250" customWidth="1"/>
    <col min="7401" max="7401" width="7.42578125" style="250" bestFit="1" customWidth="1"/>
    <col min="7402" max="7402" width="6.7109375" style="250" bestFit="1" customWidth="1"/>
    <col min="7403" max="7403" width="8" style="250" bestFit="1" customWidth="1"/>
    <col min="7404" max="7404" width="8" style="250" customWidth="1"/>
    <col min="7405" max="7640" width="9.140625" style="250"/>
    <col min="7641" max="7641" width="4.28515625" style="250" customWidth="1"/>
    <col min="7642" max="7642" width="9.140625" style="250"/>
    <col min="7643" max="7643" width="71.28515625" style="250" customWidth="1"/>
    <col min="7644" max="7644" width="7.42578125" style="250" bestFit="1" customWidth="1"/>
    <col min="7645" max="7645" width="6.7109375" style="250" bestFit="1" customWidth="1"/>
    <col min="7646" max="7646" width="8" style="250" bestFit="1" customWidth="1"/>
    <col min="7647" max="7647" width="7.42578125" style="250" bestFit="1" customWidth="1"/>
    <col min="7648" max="7648" width="6.7109375" style="250" bestFit="1" customWidth="1"/>
    <col min="7649" max="7649" width="8" style="250" bestFit="1" customWidth="1"/>
    <col min="7650" max="7656" width="8" style="250" customWidth="1"/>
    <col min="7657" max="7657" width="7.42578125" style="250" bestFit="1" customWidth="1"/>
    <col min="7658" max="7658" width="6.7109375" style="250" bestFit="1" customWidth="1"/>
    <col min="7659" max="7659" width="8" style="250" bestFit="1" customWidth="1"/>
    <col min="7660" max="7660" width="8" style="250" customWidth="1"/>
    <col min="7661" max="7896" width="9.140625" style="250"/>
    <col min="7897" max="7897" width="4.28515625" style="250" customWidth="1"/>
    <col min="7898" max="7898" width="9.140625" style="250"/>
    <col min="7899" max="7899" width="71.28515625" style="250" customWidth="1"/>
    <col min="7900" max="7900" width="7.42578125" style="250" bestFit="1" customWidth="1"/>
    <col min="7901" max="7901" width="6.7109375" style="250" bestFit="1" customWidth="1"/>
    <col min="7902" max="7902" width="8" style="250" bestFit="1" customWidth="1"/>
    <col min="7903" max="7903" width="7.42578125" style="250" bestFit="1" customWidth="1"/>
    <col min="7904" max="7904" width="6.7109375" style="250" bestFit="1" customWidth="1"/>
    <col min="7905" max="7905" width="8" style="250" bestFit="1" customWidth="1"/>
    <col min="7906" max="7912" width="8" style="250" customWidth="1"/>
    <col min="7913" max="7913" width="7.42578125" style="250" bestFit="1" customWidth="1"/>
    <col min="7914" max="7914" width="6.7109375" style="250" bestFit="1" customWidth="1"/>
    <col min="7915" max="7915" width="8" style="250" bestFit="1" customWidth="1"/>
    <col min="7916" max="7916" width="8" style="250" customWidth="1"/>
    <col min="7917" max="8152" width="9.140625" style="250"/>
    <col min="8153" max="8153" width="4.28515625" style="250" customWidth="1"/>
    <col min="8154" max="8154" width="9.140625" style="250"/>
    <col min="8155" max="8155" width="71.28515625" style="250" customWidth="1"/>
    <col min="8156" max="8156" width="7.42578125" style="250" bestFit="1" customWidth="1"/>
    <col min="8157" max="8157" width="6.7109375" style="250" bestFit="1" customWidth="1"/>
    <col min="8158" max="8158" width="8" style="250" bestFit="1" customWidth="1"/>
    <col min="8159" max="8159" width="7.42578125" style="250" bestFit="1" customWidth="1"/>
    <col min="8160" max="8160" width="6.7109375" style="250" bestFit="1" customWidth="1"/>
    <col min="8161" max="8161" width="8" style="250" bestFit="1" customWidth="1"/>
    <col min="8162" max="8168" width="8" style="250" customWidth="1"/>
    <col min="8169" max="8169" width="7.42578125" style="250" bestFit="1" customWidth="1"/>
    <col min="8170" max="8170" width="6.7109375" style="250" bestFit="1" customWidth="1"/>
    <col min="8171" max="8171" width="8" style="250" bestFit="1" customWidth="1"/>
    <col min="8172" max="8172" width="8" style="250" customWidth="1"/>
    <col min="8173" max="8408" width="9.140625" style="250"/>
    <col min="8409" max="8409" width="4.28515625" style="250" customWidth="1"/>
    <col min="8410" max="8410" width="9.140625" style="250"/>
    <col min="8411" max="8411" width="71.28515625" style="250" customWidth="1"/>
    <col min="8412" max="8412" width="7.42578125" style="250" bestFit="1" customWidth="1"/>
    <col min="8413" max="8413" width="6.7109375" style="250" bestFit="1" customWidth="1"/>
    <col min="8414" max="8414" width="8" style="250" bestFit="1" customWidth="1"/>
    <col min="8415" max="8415" width="7.42578125" style="250" bestFit="1" customWidth="1"/>
    <col min="8416" max="8416" width="6.7109375" style="250" bestFit="1" customWidth="1"/>
    <col min="8417" max="8417" width="8" style="250" bestFit="1" customWidth="1"/>
    <col min="8418" max="8424" width="8" style="250" customWidth="1"/>
    <col min="8425" max="8425" width="7.42578125" style="250" bestFit="1" customWidth="1"/>
    <col min="8426" max="8426" width="6.7109375" style="250" bestFit="1" customWidth="1"/>
    <col min="8427" max="8427" width="8" style="250" bestFit="1" customWidth="1"/>
    <col min="8428" max="8428" width="8" style="250" customWidth="1"/>
    <col min="8429" max="8664" width="9.140625" style="250"/>
    <col min="8665" max="8665" width="4.28515625" style="250" customWidth="1"/>
    <col min="8666" max="8666" width="9.140625" style="250"/>
    <col min="8667" max="8667" width="71.28515625" style="250" customWidth="1"/>
    <col min="8668" max="8668" width="7.42578125" style="250" bestFit="1" customWidth="1"/>
    <col min="8669" max="8669" width="6.7109375" style="250" bestFit="1" customWidth="1"/>
    <col min="8670" max="8670" width="8" style="250" bestFit="1" customWidth="1"/>
    <col min="8671" max="8671" width="7.42578125" style="250" bestFit="1" customWidth="1"/>
    <col min="8672" max="8672" width="6.7109375" style="250" bestFit="1" customWidth="1"/>
    <col min="8673" max="8673" width="8" style="250" bestFit="1" customWidth="1"/>
    <col min="8674" max="8680" width="8" style="250" customWidth="1"/>
    <col min="8681" max="8681" width="7.42578125" style="250" bestFit="1" customWidth="1"/>
    <col min="8682" max="8682" width="6.7109375" style="250" bestFit="1" customWidth="1"/>
    <col min="8683" max="8683" width="8" style="250" bestFit="1" customWidth="1"/>
    <col min="8684" max="8684" width="8" style="250" customWidth="1"/>
    <col min="8685" max="8920" width="9.140625" style="250"/>
    <col min="8921" max="8921" width="4.28515625" style="250" customWidth="1"/>
    <col min="8922" max="8922" width="9.140625" style="250"/>
    <col min="8923" max="8923" width="71.28515625" style="250" customWidth="1"/>
    <col min="8924" max="8924" width="7.42578125" style="250" bestFit="1" customWidth="1"/>
    <col min="8925" max="8925" width="6.7109375" style="250" bestFit="1" customWidth="1"/>
    <col min="8926" max="8926" width="8" style="250" bestFit="1" customWidth="1"/>
    <col min="8927" max="8927" width="7.42578125" style="250" bestFit="1" customWidth="1"/>
    <col min="8928" max="8928" width="6.7109375" style="250" bestFit="1" customWidth="1"/>
    <col min="8929" max="8929" width="8" style="250" bestFit="1" customWidth="1"/>
    <col min="8930" max="8936" width="8" style="250" customWidth="1"/>
    <col min="8937" max="8937" width="7.42578125" style="250" bestFit="1" customWidth="1"/>
    <col min="8938" max="8938" width="6.7109375" style="250" bestFit="1" customWidth="1"/>
    <col min="8939" max="8939" width="8" style="250" bestFit="1" customWidth="1"/>
    <col min="8940" max="8940" width="8" style="250" customWidth="1"/>
    <col min="8941" max="9176" width="9.140625" style="250"/>
    <col min="9177" max="9177" width="4.28515625" style="250" customWidth="1"/>
    <col min="9178" max="9178" width="9.140625" style="250"/>
    <col min="9179" max="9179" width="71.28515625" style="250" customWidth="1"/>
    <col min="9180" max="9180" width="7.42578125" style="250" bestFit="1" customWidth="1"/>
    <col min="9181" max="9181" width="6.7109375" style="250" bestFit="1" customWidth="1"/>
    <col min="9182" max="9182" width="8" style="250" bestFit="1" customWidth="1"/>
    <col min="9183" max="9183" width="7.42578125" style="250" bestFit="1" customWidth="1"/>
    <col min="9184" max="9184" width="6.7109375" style="250" bestFit="1" customWidth="1"/>
    <col min="9185" max="9185" width="8" style="250" bestFit="1" customWidth="1"/>
    <col min="9186" max="9192" width="8" style="250" customWidth="1"/>
    <col min="9193" max="9193" width="7.42578125" style="250" bestFit="1" customWidth="1"/>
    <col min="9194" max="9194" width="6.7109375" style="250" bestFit="1" customWidth="1"/>
    <col min="9195" max="9195" width="8" style="250" bestFit="1" customWidth="1"/>
    <col min="9196" max="9196" width="8" style="250" customWidth="1"/>
    <col min="9197" max="9432" width="9.140625" style="250"/>
    <col min="9433" max="9433" width="4.28515625" style="250" customWidth="1"/>
    <col min="9434" max="9434" width="9.140625" style="250"/>
    <col min="9435" max="9435" width="71.28515625" style="250" customWidth="1"/>
    <col min="9436" max="9436" width="7.42578125" style="250" bestFit="1" customWidth="1"/>
    <col min="9437" max="9437" width="6.7109375" style="250" bestFit="1" customWidth="1"/>
    <col min="9438" max="9438" width="8" style="250" bestFit="1" customWidth="1"/>
    <col min="9439" max="9439" width="7.42578125" style="250" bestFit="1" customWidth="1"/>
    <col min="9440" max="9440" width="6.7109375" style="250" bestFit="1" customWidth="1"/>
    <col min="9441" max="9441" width="8" style="250" bestFit="1" customWidth="1"/>
    <col min="9442" max="9448" width="8" style="250" customWidth="1"/>
    <col min="9449" max="9449" width="7.42578125" style="250" bestFit="1" customWidth="1"/>
    <col min="9450" max="9450" width="6.7109375" style="250" bestFit="1" customWidth="1"/>
    <col min="9451" max="9451" width="8" style="250" bestFit="1" customWidth="1"/>
    <col min="9452" max="9452" width="8" style="250" customWidth="1"/>
    <col min="9453" max="9688" width="9.140625" style="250"/>
    <col min="9689" max="9689" width="4.28515625" style="250" customWidth="1"/>
    <col min="9690" max="9690" width="9.140625" style="250"/>
    <col min="9691" max="9691" width="71.28515625" style="250" customWidth="1"/>
    <col min="9692" max="9692" width="7.42578125" style="250" bestFit="1" customWidth="1"/>
    <col min="9693" max="9693" width="6.7109375" style="250" bestFit="1" customWidth="1"/>
    <col min="9694" max="9694" width="8" style="250" bestFit="1" customWidth="1"/>
    <col min="9695" max="9695" width="7.42578125" style="250" bestFit="1" customWidth="1"/>
    <col min="9696" max="9696" width="6.7109375" style="250" bestFit="1" customWidth="1"/>
    <col min="9697" max="9697" width="8" style="250" bestFit="1" customWidth="1"/>
    <col min="9698" max="9704" width="8" style="250" customWidth="1"/>
    <col min="9705" max="9705" width="7.42578125" style="250" bestFit="1" customWidth="1"/>
    <col min="9706" max="9706" width="6.7109375" style="250" bestFit="1" customWidth="1"/>
    <col min="9707" max="9707" width="8" style="250" bestFit="1" customWidth="1"/>
    <col min="9708" max="9708" width="8" style="250" customWidth="1"/>
    <col min="9709" max="9944" width="9.140625" style="250"/>
    <col min="9945" max="9945" width="4.28515625" style="250" customWidth="1"/>
    <col min="9946" max="9946" width="9.140625" style="250"/>
    <col min="9947" max="9947" width="71.28515625" style="250" customWidth="1"/>
    <col min="9948" max="9948" width="7.42578125" style="250" bestFit="1" customWidth="1"/>
    <col min="9949" max="9949" width="6.7109375" style="250" bestFit="1" customWidth="1"/>
    <col min="9950" max="9950" width="8" style="250" bestFit="1" customWidth="1"/>
    <col min="9951" max="9951" width="7.42578125" style="250" bestFit="1" customWidth="1"/>
    <col min="9952" max="9952" width="6.7109375" style="250" bestFit="1" customWidth="1"/>
    <col min="9953" max="9953" width="8" style="250" bestFit="1" customWidth="1"/>
    <col min="9954" max="9960" width="8" style="250" customWidth="1"/>
    <col min="9961" max="9961" width="7.42578125" style="250" bestFit="1" customWidth="1"/>
    <col min="9962" max="9962" width="6.7109375" style="250" bestFit="1" customWidth="1"/>
    <col min="9963" max="9963" width="8" style="250" bestFit="1" customWidth="1"/>
    <col min="9964" max="9964" width="8" style="250" customWidth="1"/>
    <col min="9965" max="10200" width="9.140625" style="250"/>
    <col min="10201" max="10201" width="4.28515625" style="250" customWidth="1"/>
    <col min="10202" max="10202" width="9.140625" style="250"/>
    <col min="10203" max="10203" width="71.28515625" style="250" customWidth="1"/>
    <col min="10204" max="10204" width="7.42578125" style="250" bestFit="1" customWidth="1"/>
    <col min="10205" max="10205" width="6.7109375" style="250" bestFit="1" customWidth="1"/>
    <col min="10206" max="10206" width="8" style="250" bestFit="1" customWidth="1"/>
    <col min="10207" max="10207" width="7.42578125" style="250" bestFit="1" customWidth="1"/>
    <col min="10208" max="10208" width="6.7109375" style="250" bestFit="1" customWidth="1"/>
    <col min="10209" max="10209" width="8" style="250" bestFit="1" customWidth="1"/>
    <col min="10210" max="10216" width="8" style="250" customWidth="1"/>
    <col min="10217" max="10217" width="7.42578125" style="250" bestFit="1" customWidth="1"/>
    <col min="10218" max="10218" width="6.7109375" style="250" bestFit="1" customWidth="1"/>
    <col min="10219" max="10219" width="8" style="250" bestFit="1" customWidth="1"/>
    <col min="10220" max="10220" width="8" style="250" customWidth="1"/>
    <col min="10221" max="10456" width="9.140625" style="250"/>
    <col min="10457" max="10457" width="4.28515625" style="250" customWidth="1"/>
    <col min="10458" max="10458" width="9.140625" style="250"/>
    <col min="10459" max="10459" width="71.28515625" style="250" customWidth="1"/>
    <col min="10460" max="10460" width="7.42578125" style="250" bestFit="1" customWidth="1"/>
    <col min="10461" max="10461" width="6.7109375" style="250" bestFit="1" customWidth="1"/>
    <col min="10462" max="10462" width="8" style="250" bestFit="1" customWidth="1"/>
    <col min="10463" max="10463" width="7.42578125" style="250" bestFit="1" customWidth="1"/>
    <col min="10464" max="10464" width="6.7109375" style="250" bestFit="1" customWidth="1"/>
    <col min="10465" max="10465" width="8" style="250" bestFit="1" customWidth="1"/>
    <col min="10466" max="10472" width="8" style="250" customWidth="1"/>
    <col min="10473" max="10473" width="7.42578125" style="250" bestFit="1" customWidth="1"/>
    <col min="10474" max="10474" width="6.7109375" style="250" bestFit="1" customWidth="1"/>
    <col min="10475" max="10475" width="8" style="250" bestFit="1" customWidth="1"/>
    <col min="10476" max="10476" width="8" style="250" customWidth="1"/>
    <col min="10477" max="10712" width="9.140625" style="250"/>
    <col min="10713" max="10713" width="4.28515625" style="250" customWidth="1"/>
    <col min="10714" max="10714" width="9.140625" style="250"/>
    <col min="10715" max="10715" width="71.28515625" style="250" customWidth="1"/>
    <col min="10716" max="10716" width="7.42578125" style="250" bestFit="1" customWidth="1"/>
    <col min="10717" max="10717" width="6.7109375" style="250" bestFit="1" customWidth="1"/>
    <col min="10718" max="10718" width="8" style="250" bestFit="1" customWidth="1"/>
    <col min="10719" max="10719" width="7.42578125" style="250" bestFit="1" customWidth="1"/>
    <col min="10720" max="10720" width="6.7109375" style="250" bestFit="1" customWidth="1"/>
    <col min="10721" max="10721" width="8" style="250" bestFit="1" customWidth="1"/>
    <col min="10722" max="10728" width="8" style="250" customWidth="1"/>
    <col min="10729" max="10729" width="7.42578125" style="250" bestFit="1" customWidth="1"/>
    <col min="10730" max="10730" width="6.7109375" style="250" bestFit="1" customWidth="1"/>
    <col min="10731" max="10731" width="8" style="250" bestFit="1" customWidth="1"/>
    <col min="10732" max="10732" width="8" style="250" customWidth="1"/>
    <col min="10733" max="10968" width="9.140625" style="250"/>
    <col min="10969" max="10969" width="4.28515625" style="250" customWidth="1"/>
    <col min="10970" max="10970" width="9.140625" style="250"/>
    <col min="10971" max="10971" width="71.28515625" style="250" customWidth="1"/>
    <col min="10972" max="10972" width="7.42578125" style="250" bestFit="1" customWidth="1"/>
    <col min="10973" max="10973" width="6.7109375" style="250" bestFit="1" customWidth="1"/>
    <col min="10974" max="10974" width="8" style="250" bestFit="1" customWidth="1"/>
    <col min="10975" max="10975" width="7.42578125" style="250" bestFit="1" customWidth="1"/>
    <col min="10976" max="10976" width="6.7109375" style="250" bestFit="1" customWidth="1"/>
    <col min="10977" max="10977" width="8" style="250" bestFit="1" customWidth="1"/>
    <col min="10978" max="10984" width="8" style="250" customWidth="1"/>
    <col min="10985" max="10985" width="7.42578125" style="250" bestFit="1" customWidth="1"/>
    <col min="10986" max="10986" width="6.7109375" style="250" bestFit="1" customWidth="1"/>
    <col min="10987" max="10987" width="8" style="250" bestFit="1" customWidth="1"/>
    <col min="10988" max="10988" width="8" style="250" customWidth="1"/>
    <col min="10989" max="11224" width="9.140625" style="250"/>
    <col min="11225" max="11225" width="4.28515625" style="250" customWidth="1"/>
    <col min="11226" max="11226" width="9.140625" style="250"/>
    <col min="11227" max="11227" width="71.28515625" style="250" customWidth="1"/>
    <col min="11228" max="11228" width="7.42578125" style="250" bestFit="1" customWidth="1"/>
    <col min="11229" max="11229" width="6.7109375" style="250" bestFit="1" customWidth="1"/>
    <col min="11230" max="11230" width="8" style="250" bestFit="1" customWidth="1"/>
    <col min="11231" max="11231" width="7.42578125" style="250" bestFit="1" customWidth="1"/>
    <col min="11232" max="11232" width="6.7109375" style="250" bestFit="1" customWidth="1"/>
    <col min="11233" max="11233" width="8" style="250" bestFit="1" customWidth="1"/>
    <col min="11234" max="11240" width="8" style="250" customWidth="1"/>
    <col min="11241" max="11241" width="7.42578125" style="250" bestFit="1" customWidth="1"/>
    <col min="11242" max="11242" width="6.7109375" style="250" bestFit="1" customWidth="1"/>
    <col min="11243" max="11243" width="8" style="250" bestFit="1" customWidth="1"/>
    <col min="11244" max="11244" width="8" style="250" customWidth="1"/>
    <col min="11245" max="11480" width="9.140625" style="250"/>
    <col min="11481" max="11481" width="4.28515625" style="250" customWidth="1"/>
    <col min="11482" max="11482" width="9.140625" style="250"/>
    <col min="11483" max="11483" width="71.28515625" style="250" customWidth="1"/>
    <col min="11484" max="11484" width="7.42578125" style="250" bestFit="1" customWidth="1"/>
    <col min="11485" max="11485" width="6.7109375" style="250" bestFit="1" customWidth="1"/>
    <col min="11486" max="11486" width="8" style="250" bestFit="1" customWidth="1"/>
    <col min="11487" max="11487" width="7.42578125" style="250" bestFit="1" customWidth="1"/>
    <col min="11488" max="11488" width="6.7109375" style="250" bestFit="1" customWidth="1"/>
    <col min="11489" max="11489" width="8" style="250" bestFit="1" customWidth="1"/>
    <col min="11490" max="11496" width="8" style="250" customWidth="1"/>
    <col min="11497" max="11497" width="7.42578125" style="250" bestFit="1" customWidth="1"/>
    <col min="11498" max="11498" width="6.7109375" style="250" bestFit="1" customWidth="1"/>
    <col min="11499" max="11499" width="8" style="250" bestFit="1" customWidth="1"/>
    <col min="11500" max="11500" width="8" style="250" customWidth="1"/>
    <col min="11501" max="11736" width="9.140625" style="250"/>
    <col min="11737" max="11737" width="4.28515625" style="250" customWidth="1"/>
    <col min="11738" max="11738" width="9.140625" style="250"/>
    <col min="11739" max="11739" width="71.28515625" style="250" customWidth="1"/>
    <col min="11740" max="11740" width="7.42578125" style="250" bestFit="1" customWidth="1"/>
    <col min="11741" max="11741" width="6.7109375" style="250" bestFit="1" customWidth="1"/>
    <col min="11742" max="11742" width="8" style="250" bestFit="1" customWidth="1"/>
    <col min="11743" max="11743" width="7.42578125" style="250" bestFit="1" customWidth="1"/>
    <col min="11744" max="11744" width="6.7109375" style="250" bestFit="1" customWidth="1"/>
    <col min="11745" max="11745" width="8" style="250" bestFit="1" customWidth="1"/>
    <col min="11746" max="11752" width="8" style="250" customWidth="1"/>
    <col min="11753" max="11753" width="7.42578125" style="250" bestFit="1" customWidth="1"/>
    <col min="11754" max="11754" width="6.7109375" style="250" bestFit="1" customWidth="1"/>
    <col min="11755" max="11755" width="8" style="250" bestFit="1" customWidth="1"/>
    <col min="11756" max="11756" width="8" style="250" customWidth="1"/>
    <col min="11757" max="11992" width="9.140625" style="250"/>
    <col min="11993" max="11993" width="4.28515625" style="250" customWidth="1"/>
    <col min="11994" max="11994" width="9.140625" style="250"/>
    <col min="11995" max="11995" width="71.28515625" style="250" customWidth="1"/>
    <col min="11996" max="11996" width="7.42578125" style="250" bestFit="1" customWidth="1"/>
    <col min="11997" max="11997" width="6.7109375" style="250" bestFit="1" customWidth="1"/>
    <col min="11998" max="11998" width="8" style="250" bestFit="1" customWidth="1"/>
    <col min="11999" max="11999" width="7.42578125" style="250" bestFit="1" customWidth="1"/>
    <col min="12000" max="12000" width="6.7109375" style="250" bestFit="1" customWidth="1"/>
    <col min="12001" max="12001" width="8" style="250" bestFit="1" customWidth="1"/>
    <col min="12002" max="12008" width="8" style="250" customWidth="1"/>
    <col min="12009" max="12009" width="7.42578125" style="250" bestFit="1" customWidth="1"/>
    <col min="12010" max="12010" width="6.7109375" style="250" bestFit="1" customWidth="1"/>
    <col min="12011" max="12011" width="8" style="250" bestFit="1" customWidth="1"/>
    <col min="12012" max="12012" width="8" style="250" customWidth="1"/>
    <col min="12013" max="12248" width="9.140625" style="250"/>
    <col min="12249" max="12249" width="4.28515625" style="250" customWidth="1"/>
    <col min="12250" max="12250" width="9.140625" style="250"/>
    <col min="12251" max="12251" width="71.28515625" style="250" customWidth="1"/>
    <col min="12252" max="12252" width="7.42578125" style="250" bestFit="1" customWidth="1"/>
    <col min="12253" max="12253" width="6.7109375" style="250" bestFit="1" customWidth="1"/>
    <col min="12254" max="12254" width="8" style="250" bestFit="1" customWidth="1"/>
    <col min="12255" max="12255" width="7.42578125" style="250" bestFit="1" customWidth="1"/>
    <col min="12256" max="12256" width="6.7109375" style="250" bestFit="1" customWidth="1"/>
    <col min="12257" max="12257" width="8" style="250" bestFit="1" customWidth="1"/>
    <col min="12258" max="12264" width="8" style="250" customWidth="1"/>
    <col min="12265" max="12265" width="7.42578125" style="250" bestFit="1" customWidth="1"/>
    <col min="12266" max="12266" width="6.7109375" style="250" bestFit="1" customWidth="1"/>
    <col min="12267" max="12267" width="8" style="250" bestFit="1" customWidth="1"/>
    <col min="12268" max="12268" width="8" style="250" customWidth="1"/>
    <col min="12269" max="12504" width="9.140625" style="250"/>
    <col min="12505" max="12505" width="4.28515625" style="250" customWidth="1"/>
    <col min="12506" max="12506" width="9.140625" style="250"/>
    <col min="12507" max="12507" width="71.28515625" style="250" customWidth="1"/>
    <col min="12508" max="12508" width="7.42578125" style="250" bestFit="1" customWidth="1"/>
    <col min="12509" max="12509" width="6.7109375" style="250" bestFit="1" customWidth="1"/>
    <col min="12510" max="12510" width="8" style="250" bestFit="1" customWidth="1"/>
    <col min="12511" max="12511" width="7.42578125" style="250" bestFit="1" customWidth="1"/>
    <col min="12512" max="12512" width="6.7109375" style="250" bestFit="1" customWidth="1"/>
    <col min="12513" max="12513" width="8" style="250" bestFit="1" customWidth="1"/>
    <col min="12514" max="12520" width="8" style="250" customWidth="1"/>
    <col min="12521" max="12521" width="7.42578125" style="250" bestFit="1" customWidth="1"/>
    <col min="12522" max="12522" width="6.7109375" style="250" bestFit="1" customWidth="1"/>
    <col min="12523" max="12523" width="8" style="250" bestFit="1" customWidth="1"/>
    <col min="12524" max="12524" width="8" style="250" customWidth="1"/>
    <col min="12525" max="12760" width="9.140625" style="250"/>
    <col min="12761" max="12761" width="4.28515625" style="250" customWidth="1"/>
    <col min="12762" max="12762" width="9.140625" style="250"/>
    <col min="12763" max="12763" width="71.28515625" style="250" customWidth="1"/>
    <col min="12764" max="12764" width="7.42578125" style="250" bestFit="1" customWidth="1"/>
    <col min="12765" max="12765" width="6.7109375" style="250" bestFit="1" customWidth="1"/>
    <col min="12766" max="12766" width="8" style="250" bestFit="1" customWidth="1"/>
    <col min="12767" max="12767" width="7.42578125" style="250" bestFit="1" customWidth="1"/>
    <col min="12768" max="12768" width="6.7109375" style="250" bestFit="1" customWidth="1"/>
    <col min="12769" max="12769" width="8" style="250" bestFit="1" customWidth="1"/>
    <col min="12770" max="12776" width="8" style="250" customWidth="1"/>
    <col min="12777" max="12777" width="7.42578125" style="250" bestFit="1" customWidth="1"/>
    <col min="12778" max="12778" width="6.7109375" style="250" bestFit="1" customWidth="1"/>
    <col min="12779" max="12779" width="8" style="250" bestFit="1" customWidth="1"/>
    <col min="12780" max="12780" width="8" style="250" customWidth="1"/>
    <col min="12781" max="13016" width="9.140625" style="250"/>
    <col min="13017" max="13017" width="4.28515625" style="250" customWidth="1"/>
    <col min="13018" max="13018" width="9.140625" style="250"/>
    <col min="13019" max="13019" width="71.28515625" style="250" customWidth="1"/>
    <col min="13020" max="13020" width="7.42578125" style="250" bestFit="1" customWidth="1"/>
    <col min="13021" max="13021" width="6.7109375" style="250" bestFit="1" customWidth="1"/>
    <col min="13022" max="13022" width="8" style="250" bestFit="1" customWidth="1"/>
    <col min="13023" max="13023" width="7.42578125" style="250" bestFit="1" customWidth="1"/>
    <col min="13024" max="13024" width="6.7109375" style="250" bestFit="1" customWidth="1"/>
    <col min="13025" max="13025" width="8" style="250" bestFit="1" customWidth="1"/>
    <col min="13026" max="13032" width="8" style="250" customWidth="1"/>
    <col min="13033" max="13033" width="7.42578125" style="250" bestFit="1" customWidth="1"/>
    <col min="13034" max="13034" width="6.7109375" style="250" bestFit="1" customWidth="1"/>
    <col min="13035" max="13035" width="8" style="250" bestFit="1" customWidth="1"/>
    <col min="13036" max="13036" width="8" style="250" customWidth="1"/>
    <col min="13037" max="13272" width="9.140625" style="250"/>
    <col min="13273" max="13273" width="4.28515625" style="250" customWidth="1"/>
    <col min="13274" max="13274" width="9.140625" style="250"/>
    <col min="13275" max="13275" width="71.28515625" style="250" customWidth="1"/>
    <col min="13276" max="13276" width="7.42578125" style="250" bestFit="1" customWidth="1"/>
    <col min="13277" max="13277" width="6.7109375" style="250" bestFit="1" customWidth="1"/>
    <col min="13278" max="13278" width="8" style="250" bestFit="1" customWidth="1"/>
    <col min="13279" max="13279" width="7.42578125" style="250" bestFit="1" customWidth="1"/>
    <col min="13280" max="13280" width="6.7109375" style="250" bestFit="1" customWidth="1"/>
    <col min="13281" max="13281" width="8" style="250" bestFit="1" customWidth="1"/>
    <col min="13282" max="13288" width="8" style="250" customWidth="1"/>
    <col min="13289" max="13289" width="7.42578125" style="250" bestFit="1" customWidth="1"/>
    <col min="13290" max="13290" width="6.7109375" style="250" bestFit="1" customWidth="1"/>
    <col min="13291" max="13291" width="8" style="250" bestFit="1" customWidth="1"/>
    <col min="13292" max="13292" width="8" style="250" customWidth="1"/>
    <col min="13293" max="13528" width="9.140625" style="250"/>
    <col min="13529" max="13529" width="4.28515625" style="250" customWidth="1"/>
    <col min="13530" max="13530" width="9.140625" style="250"/>
    <col min="13531" max="13531" width="71.28515625" style="250" customWidth="1"/>
    <col min="13532" max="13532" width="7.42578125" style="250" bestFit="1" customWidth="1"/>
    <col min="13533" max="13533" width="6.7109375" style="250" bestFit="1" customWidth="1"/>
    <col min="13534" max="13534" width="8" style="250" bestFit="1" customWidth="1"/>
    <col min="13535" max="13535" width="7.42578125" style="250" bestFit="1" customWidth="1"/>
    <col min="13536" max="13536" width="6.7109375" style="250" bestFit="1" customWidth="1"/>
    <col min="13537" max="13537" width="8" style="250" bestFit="1" customWidth="1"/>
    <col min="13538" max="13544" width="8" style="250" customWidth="1"/>
    <col min="13545" max="13545" width="7.42578125" style="250" bestFit="1" customWidth="1"/>
    <col min="13546" max="13546" width="6.7109375" style="250" bestFit="1" customWidth="1"/>
    <col min="13547" max="13547" width="8" style="250" bestFit="1" customWidth="1"/>
    <col min="13548" max="13548" width="8" style="250" customWidth="1"/>
    <col min="13549" max="13784" width="9.140625" style="250"/>
    <col min="13785" max="13785" width="4.28515625" style="250" customWidth="1"/>
    <col min="13786" max="13786" width="9.140625" style="250"/>
    <col min="13787" max="13787" width="71.28515625" style="250" customWidth="1"/>
    <col min="13788" max="13788" width="7.42578125" style="250" bestFit="1" customWidth="1"/>
    <col min="13789" max="13789" width="6.7109375" style="250" bestFit="1" customWidth="1"/>
    <col min="13790" max="13790" width="8" style="250" bestFit="1" customWidth="1"/>
    <col min="13791" max="13791" width="7.42578125" style="250" bestFit="1" customWidth="1"/>
    <col min="13792" max="13792" width="6.7109375" style="250" bestFit="1" customWidth="1"/>
    <col min="13793" max="13793" width="8" style="250" bestFit="1" customWidth="1"/>
    <col min="13794" max="13800" width="8" style="250" customWidth="1"/>
    <col min="13801" max="13801" width="7.42578125" style="250" bestFit="1" customWidth="1"/>
    <col min="13802" max="13802" width="6.7109375" style="250" bestFit="1" customWidth="1"/>
    <col min="13803" max="13803" width="8" style="250" bestFit="1" customWidth="1"/>
    <col min="13804" max="13804" width="8" style="250" customWidth="1"/>
    <col min="13805" max="14040" width="9.140625" style="250"/>
    <col min="14041" max="14041" width="4.28515625" style="250" customWidth="1"/>
    <col min="14042" max="14042" width="9.140625" style="250"/>
    <col min="14043" max="14043" width="71.28515625" style="250" customWidth="1"/>
    <col min="14044" max="14044" width="7.42578125" style="250" bestFit="1" customWidth="1"/>
    <col min="14045" max="14045" width="6.7109375" style="250" bestFit="1" customWidth="1"/>
    <col min="14046" max="14046" width="8" style="250" bestFit="1" customWidth="1"/>
    <col min="14047" max="14047" width="7.42578125" style="250" bestFit="1" customWidth="1"/>
    <col min="14048" max="14048" width="6.7109375" style="250" bestFit="1" customWidth="1"/>
    <col min="14049" max="14049" width="8" style="250" bestFit="1" customWidth="1"/>
    <col min="14050" max="14056" width="8" style="250" customWidth="1"/>
    <col min="14057" max="14057" width="7.42578125" style="250" bestFit="1" customWidth="1"/>
    <col min="14058" max="14058" width="6.7109375" style="250" bestFit="1" customWidth="1"/>
    <col min="14059" max="14059" width="8" style="250" bestFit="1" customWidth="1"/>
    <col min="14060" max="14060" width="8" style="250" customWidth="1"/>
    <col min="14061" max="14296" width="9.140625" style="250"/>
    <col min="14297" max="14297" width="4.28515625" style="250" customWidth="1"/>
    <col min="14298" max="14298" width="9.140625" style="250"/>
    <col min="14299" max="14299" width="71.28515625" style="250" customWidth="1"/>
    <col min="14300" max="14300" width="7.42578125" style="250" bestFit="1" customWidth="1"/>
    <col min="14301" max="14301" width="6.7109375" style="250" bestFit="1" customWidth="1"/>
    <col min="14302" max="14302" width="8" style="250" bestFit="1" customWidth="1"/>
    <col min="14303" max="14303" width="7.42578125" style="250" bestFit="1" customWidth="1"/>
    <col min="14304" max="14304" width="6.7109375" style="250" bestFit="1" customWidth="1"/>
    <col min="14305" max="14305" width="8" style="250" bestFit="1" customWidth="1"/>
    <col min="14306" max="14312" width="8" style="250" customWidth="1"/>
    <col min="14313" max="14313" width="7.42578125" style="250" bestFit="1" customWidth="1"/>
    <col min="14314" max="14314" width="6.7109375" style="250" bestFit="1" customWidth="1"/>
    <col min="14315" max="14315" width="8" style="250" bestFit="1" customWidth="1"/>
    <col min="14316" max="14316" width="8" style="250" customWidth="1"/>
    <col min="14317" max="14552" width="9.140625" style="250"/>
    <col min="14553" max="14553" width="4.28515625" style="250" customWidth="1"/>
    <col min="14554" max="14554" width="9.140625" style="250"/>
    <col min="14555" max="14555" width="71.28515625" style="250" customWidth="1"/>
    <col min="14556" max="14556" width="7.42578125" style="250" bestFit="1" customWidth="1"/>
    <col min="14557" max="14557" width="6.7109375" style="250" bestFit="1" customWidth="1"/>
    <col min="14558" max="14558" width="8" style="250" bestFit="1" customWidth="1"/>
    <col min="14559" max="14559" width="7.42578125" style="250" bestFit="1" customWidth="1"/>
    <col min="14560" max="14560" width="6.7109375" style="250" bestFit="1" customWidth="1"/>
    <col min="14561" max="14561" width="8" style="250" bestFit="1" customWidth="1"/>
    <col min="14562" max="14568" width="8" style="250" customWidth="1"/>
    <col min="14569" max="14569" width="7.42578125" style="250" bestFit="1" customWidth="1"/>
    <col min="14570" max="14570" width="6.7109375" style="250" bestFit="1" customWidth="1"/>
    <col min="14571" max="14571" width="8" style="250" bestFit="1" customWidth="1"/>
    <col min="14572" max="14572" width="8" style="250" customWidth="1"/>
    <col min="14573" max="14808" width="9.140625" style="250"/>
    <col min="14809" max="14809" width="4.28515625" style="250" customWidth="1"/>
    <col min="14810" max="14810" width="9.140625" style="250"/>
    <col min="14811" max="14811" width="71.28515625" style="250" customWidth="1"/>
    <col min="14812" max="14812" width="7.42578125" style="250" bestFit="1" customWidth="1"/>
    <col min="14813" max="14813" width="6.7109375" style="250" bestFit="1" customWidth="1"/>
    <col min="14814" max="14814" width="8" style="250" bestFit="1" customWidth="1"/>
    <col min="14815" max="14815" width="7.42578125" style="250" bestFit="1" customWidth="1"/>
    <col min="14816" max="14816" width="6.7109375" style="250" bestFit="1" customWidth="1"/>
    <col min="14817" max="14817" width="8" style="250" bestFit="1" customWidth="1"/>
    <col min="14818" max="14824" width="8" style="250" customWidth="1"/>
    <col min="14825" max="14825" width="7.42578125" style="250" bestFit="1" customWidth="1"/>
    <col min="14826" max="14826" width="6.7109375" style="250" bestFit="1" customWidth="1"/>
    <col min="14827" max="14827" width="8" style="250" bestFit="1" customWidth="1"/>
    <col min="14828" max="14828" width="8" style="250" customWidth="1"/>
    <col min="14829" max="15064" width="9.140625" style="250"/>
    <col min="15065" max="15065" width="4.28515625" style="250" customWidth="1"/>
    <col min="15066" max="15066" width="9.140625" style="250"/>
    <col min="15067" max="15067" width="71.28515625" style="250" customWidth="1"/>
    <col min="15068" max="15068" width="7.42578125" style="250" bestFit="1" customWidth="1"/>
    <col min="15069" max="15069" width="6.7109375" style="250" bestFit="1" customWidth="1"/>
    <col min="15070" max="15070" width="8" style="250" bestFit="1" customWidth="1"/>
    <col min="15071" max="15071" width="7.42578125" style="250" bestFit="1" customWidth="1"/>
    <col min="15072" max="15072" width="6.7109375" style="250" bestFit="1" customWidth="1"/>
    <col min="15073" max="15073" width="8" style="250" bestFit="1" customWidth="1"/>
    <col min="15074" max="15080" width="8" style="250" customWidth="1"/>
    <col min="15081" max="15081" width="7.42578125" style="250" bestFit="1" customWidth="1"/>
    <col min="15082" max="15082" width="6.7109375" style="250" bestFit="1" customWidth="1"/>
    <col min="15083" max="15083" width="8" style="250" bestFit="1" customWidth="1"/>
    <col min="15084" max="15084" width="8" style="250" customWidth="1"/>
    <col min="15085" max="15320" width="9.140625" style="250"/>
    <col min="15321" max="15321" width="4.28515625" style="250" customWidth="1"/>
    <col min="15322" max="15322" width="9.140625" style="250"/>
    <col min="15323" max="15323" width="71.28515625" style="250" customWidth="1"/>
    <col min="15324" max="15324" width="7.42578125" style="250" bestFit="1" customWidth="1"/>
    <col min="15325" max="15325" width="6.7109375" style="250" bestFit="1" customWidth="1"/>
    <col min="15326" max="15326" width="8" style="250" bestFit="1" customWidth="1"/>
    <col min="15327" max="15327" width="7.42578125" style="250" bestFit="1" customWidth="1"/>
    <col min="15328" max="15328" width="6.7109375" style="250" bestFit="1" customWidth="1"/>
    <col min="15329" max="15329" width="8" style="250" bestFit="1" customWidth="1"/>
    <col min="15330" max="15336" width="8" style="250" customWidth="1"/>
    <col min="15337" max="15337" width="7.42578125" style="250" bestFit="1" customWidth="1"/>
    <col min="15338" max="15338" width="6.7109375" style="250" bestFit="1" customWidth="1"/>
    <col min="15339" max="15339" width="8" style="250" bestFit="1" customWidth="1"/>
    <col min="15340" max="15340" width="8" style="250" customWidth="1"/>
    <col min="15341" max="15576" width="9.140625" style="250"/>
    <col min="15577" max="15577" width="4.28515625" style="250" customWidth="1"/>
    <col min="15578" max="15578" width="9.140625" style="250"/>
    <col min="15579" max="15579" width="71.28515625" style="250" customWidth="1"/>
    <col min="15580" max="15580" width="7.42578125" style="250" bestFit="1" customWidth="1"/>
    <col min="15581" max="15581" width="6.7109375" style="250" bestFit="1" customWidth="1"/>
    <col min="15582" max="15582" width="8" style="250" bestFit="1" customWidth="1"/>
    <col min="15583" max="15583" width="7.42578125" style="250" bestFit="1" customWidth="1"/>
    <col min="15584" max="15584" width="6.7109375" style="250" bestFit="1" customWidth="1"/>
    <col min="15585" max="15585" width="8" style="250" bestFit="1" customWidth="1"/>
    <col min="15586" max="15592" width="8" style="250" customWidth="1"/>
    <col min="15593" max="15593" width="7.42578125" style="250" bestFit="1" customWidth="1"/>
    <col min="15594" max="15594" width="6.7109375" style="250" bestFit="1" customWidth="1"/>
    <col min="15595" max="15595" width="8" style="250" bestFit="1" customWidth="1"/>
    <col min="15596" max="15596" width="8" style="250" customWidth="1"/>
    <col min="15597" max="15832" width="9.140625" style="250"/>
    <col min="15833" max="15833" width="4.28515625" style="250" customWidth="1"/>
    <col min="15834" max="15834" width="9.140625" style="250"/>
    <col min="15835" max="15835" width="71.28515625" style="250" customWidth="1"/>
    <col min="15836" max="15836" width="7.42578125" style="250" bestFit="1" customWidth="1"/>
    <col min="15837" max="15837" width="6.7109375" style="250" bestFit="1" customWidth="1"/>
    <col min="15838" max="15838" width="8" style="250" bestFit="1" customWidth="1"/>
    <col min="15839" max="15839" width="7.42578125" style="250" bestFit="1" customWidth="1"/>
    <col min="15840" max="15840" width="6.7109375" style="250" bestFit="1" customWidth="1"/>
    <col min="15841" max="15841" width="8" style="250" bestFit="1" customWidth="1"/>
    <col min="15842" max="15848" width="8" style="250" customWidth="1"/>
    <col min="15849" max="15849" width="7.42578125" style="250" bestFit="1" customWidth="1"/>
    <col min="15850" max="15850" width="6.7109375" style="250" bestFit="1" customWidth="1"/>
    <col min="15851" max="15851" width="8" style="250" bestFit="1" customWidth="1"/>
    <col min="15852" max="15852" width="8" style="250" customWidth="1"/>
    <col min="15853" max="16088" width="9.140625" style="250"/>
    <col min="16089" max="16089" width="4.28515625" style="250" customWidth="1"/>
    <col min="16090" max="16090" width="9.140625" style="250"/>
    <col min="16091" max="16091" width="71.28515625" style="250" customWidth="1"/>
    <col min="16092" max="16092" width="7.42578125" style="250" bestFit="1" customWidth="1"/>
    <col min="16093" max="16093" width="6.7109375" style="250" bestFit="1" customWidth="1"/>
    <col min="16094" max="16094" width="8" style="250" bestFit="1" customWidth="1"/>
    <col min="16095" max="16095" width="7.42578125" style="250" bestFit="1" customWidth="1"/>
    <col min="16096" max="16096" width="6.7109375" style="250" bestFit="1" customWidth="1"/>
    <col min="16097" max="16097" width="8" style="250" bestFit="1" customWidth="1"/>
    <col min="16098" max="16104" width="8" style="250" customWidth="1"/>
    <col min="16105" max="16105" width="7.42578125" style="250" bestFit="1" customWidth="1"/>
    <col min="16106" max="16106" width="6.7109375" style="250" bestFit="1" customWidth="1"/>
    <col min="16107" max="16107" width="8" style="250" bestFit="1" customWidth="1"/>
    <col min="16108" max="16108" width="8" style="250" customWidth="1"/>
    <col min="16109" max="16384" width="9.140625" style="250"/>
  </cols>
  <sheetData>
    <row r="3" spans="1:24" ht="19.5" customHeight="1">
      <c r="A3" s="252" t="s">
        <v>1003</v>
      </c>
      <c r="X3" s="255"/>
    </row>
    <row r="4" spans="1:24" ht="19.5" customHeight="1">
      <c r="A4" s="252"/>
      <c r="X4" s="255"/>
    </row>
    <row r="5" spans="1:24" ht="13.5" thickBot="1">
      <c r="X5" s="252" t="s">
        <v>188</v>
      </c>
    </row>
    <row r="6" spans="1:24" ht="20.100000000000001" customHeight="1" thickTop="1">
      <c r="A6" s="1620" t="s">
        <v>13</v>
      </c>
      <c r="B6" s="1622" t="s">
        <v>186</v>
      </c>
      <c r="C6" s="1624" t="s">
        <v>183</v>
      </c>
      <c r="D6" s="1631">
        <v>2021</v>
      </c>
      <c r="E6" s="1632"/>
      <c r="F6" s="1633"/>
      <c r="G6" s="1629">
        <v>2022</v>
      </c>
      <c r="H6" s="1630"/>
      <c r="I6" s="1624"/>
      <c r="J6" s="1629">
        <v>2023</v>
      </c>
      <c r="K6" s="1630"/>
      <c r="L6" s="1624"/>
      <c r="M6" s="1629">
        <v>2024</v>
      </c>
      <c r="N6" s="1630"/>
      <c r="O6" s="1624"/>
      <c r="P6" s="1629">
        <v>2025</v>
      </c>
      <c r="Q6" s="1630"/>
      <c r="R6" s="1624"/>
      <c r="S6" s="1629">
        <v>2026</v>
      </c>
      <c r="T6" s="1630"/>
      <c r="U6" s="1624"/>
      <c r="V6" s="1626" t="s">
        <v>609</v>
      </c>
      <c r="W6" s="1627"/>
      <c r="X6" s="1628"/>
    </row>
    <row r="7" spans="1:24" ht="13.5" thickBot="1">
      <c r="A7" s="1621"/>
      <c r="B7" s="1623"/>
      <c r="C7" s="1625"/>
      <c r="D7" s="515" t="s">
        <v>15</v>
      </c>
      <c r="E7" s="271" t="s">
        <v>19</v>
      </c>
      <c r="F7" s="516" t="s">
        <v>12</v>
      </c>
      <c r="G7" s="515" t="s">
        <v>15</v>
      </c>
      <c r="H7" s="271" t="s">
        <v>19</v>
      </c>
      <c r="I7" s="516" t="s">
        <v>12</v>
      </c>
      <c r="J7" s="515" t="s">
        <v>15</v>
      </c>
      <c r="K7" s="271" t="s">
        <v>19</v>
      </c>
      <c r="L7" s="516" t="s">
        <v>12</v>
      </c>
      <c r="M7" s="515" t="s">
        <v>15</v>
      </c>
      <c r="N7" s="271" t="s">
        <v>19</v>
      </c>
      <c r="O7" s="516" t="s">
        <v>12</v>
      </c>
      <c r="P7" s="515" t="s">
        <v>15</v>
      </c>
      <c r="Q7" s="271" t="s">
        <v>19</v>
      </c>
      <c r="R7" s="516" t="s">
        <v>12</v>
      </c>
      <c r="S7" s="515" t="s">
        <v>15</v>
      </c>
      <c r="T7" s="271" t="s">
        <v>19</v>
      </c>
      <c r="U7" s="516" t="s">
        <v>12</v>
      </c>
      <c r="V7" s="515" t="s">
        <v>15</v>
      </c>
      <c r="W7" s="271" t="s">
        <v>19</v>
      </c>
      <c r="X7" s="516" t="s">
        <v>12</v>
      </c>
    </row>
    <row r="8" spans="1:24" ht="20.100000000000001" customHeight="1" thickTop="1" thickBot="1">
      <c r="A8" s="1335" t="s">
        <v>184</v>
      </c>
      <c r="B8" s="1317"/>
      <c r="C8" s="1329"/>
      <c r="D8" s="1315"/>
      <c r="E8" s="1317"/>
      <c r="F8" s="1330"/>
      <c r="G8" s="1318"/>
      <c r="H8" s="1319"/>
      <c r="I8" s="1320"/>
      <c r="J8" s="1318"/>
      <c r="K8" s="1319"/>
      <c r="L8" s="1320"/>
      <c r="M8" s="1318"/>
      <c r="N8" s="1319"/>
      <c r="O8" s="1320"/>
      <c r="P8" s="1318"/>
      <c r="Q8" s="1319"/>
      <c r="R8" s="1320"/>
      <c r="S8" s="1318"/>
      <c r="T8" s="1319"/>
      <c r="U8" s="1320"/>
      <c r="V8" s="1318"/>
      <c r="W8" s="1319"/>
      <c r="X8" s="1320"/>
    </row>
    <row r="9" spans="1:24" s="532" customFormat="1" ht="24.95" customHeight="1" thickTop="1">
      <c r="A9" s="1336">
        <v>1</v>
      </c>
      <c r="B9" s="1331" t="s">
        <v>187</v>
      </c>
      <c r="C9" s="1323" t="s">
        <v>727</v>
      </c>
      <c r="D9" s="1324">
        <f>E9+F9</f>
        <v>5040</v>
      </c>
      <c r="E9" s="1325">
        <v>5040</v>
      </c>
      <c r="F9" s="1326"/>
      <c r="G9" s="1327">
        <f>H9+I9</f>
        <v>3780</v>
      </c>
      <c r="H9" s="1314">
        <v>3780</v>
      </c>
      <c r="I9" s="1328"/>
      <c r="J9" s="1327">
        <f>K9+L9</f>
        <v>5110</v>
      </c>
      <c r="K9" s="1314">
        <v>5110</v>
      </c>
      <c r="L9" s="1328"/>
      <c r="M9" s="1327">
        <f t="shared" ref="M9:M16" si="0">N9+O9</f>
        <v>3710</v>
      </c>
      <c r="N9" s="1314">
        <v>3710</v>
      </c>
      <c r="O9" s="1328"/>
      <c r="P9" s="1327">
        <f t="shared" ref="P9:P16" si="1">Q9+R9</f>
        <v>1220</v>
      </c>
      <c r="Q9" s="1314">
        <v>1220</v>
      </c>
      <c r="R9" s="1328"/>
      <c r="S9" s="1327">
        <f>T9+U9</f>
        <v>0</v>
      </c>
      <c r="T9" s="1314">
        <v>0</v>
      </c>
      <c r="U9" s="1328"/>
      <c r="V9" s="1313">
        <f>G9+J9+M9+P9+S9+D9</f>
        <v>18860</v>
      </c>
      <c r="W9" s="1314">
        <f>H9+K9+N9+Q9+T9+E9</f>
        <v>18860</v>
      </c>
      <c r="X9" s="1328">
        <f>I9+L9+O9+R9+U9+F9</f>
        <v>0</v>
      </c>
    </row>
    <row r="10" spans="1:24" s="541" customFormat="1" ht="24.95" customHeight="1">
      <c r="A10" s="1337">
        <v>2</v>
      </c>
      <c r="B10" s="544" t="s">
        <v>189</v>
      </c>
      <c r="C10" s="1273" t="s">
        <v>727</v>
      </c>
      <c r="D10" s="1279"/>
      <c r="E10" s="1263"/>
      <c r="F10" s="1280"/>
      <c r="G10" s="536">
        <f t="shared" ref="G10:G16" si="2">H10+I10</f>
        <v>5030</v>
      </c>
      <c r="H10" s="537">
        <f>'T1 wodociag 2022-2026'!I49</f>
        <v>5030</v>
      </c>
      <c r="I10" s="538">
        <f>'T1 wodociag 2022-2026'!G49</f>
        <v>0</v>
      </c>
      <c r="J10" s="536">
        <f>K10+L10</f>
        <v>4840</v>
      </c>
      <c r="K10" s="537">
        <f>'T1 wodociag 2022-2026'!L49</f>
        <v>4840</v>
      </c>
      <c r="L10" s="538">
        <f>'T1 wodociag 2022-2026'!J49</f>
        <v>0</v>
      </c>
      <c r="M10" s="536">
        <f t="shared" si="0"/>
        <v>3405</v>
      </c>
      <c r="N10" s="537">
        <f>'T1 wodociag 2022-2026'!O49</f>
        <v>3405</v>
      </c>
      <c r="O10" s="538">
        <f>'T1 wodociag 2022-2026'!P49</f>
        <v>0</v>
      </c>
      <c r="P10" s="536">
        <f t="shared" si="1"/>
        <v>3330</v>
      </c>
      <c r="Q10" s="537">
        <f>'T1 wodociag 2022-2026'!R49</f>
        <v>3330</v>
      </c>
      <c r="R10" s="538">
        <f>'T1 wodociag 2022-2026'!S49</f>
        <v>0</v>
      </c>
      <c r="S10" s="536">
        <f>T10+U10</f>
        <v>2180</v>
      </c>
      <c r="T10" s="537">
        <f>'T1 wodociag 2022-2026'!U49</f>
        <v>2180</v>
      </c>
      <c r="U10" s="538">
        <f>'T1 wodociag 2022-2026'!V49</f>
        <v>0</v>
      </c>
      <c r="V10" s="536">
        <f t="shared" ref="V10" si="3">G10+J10+M10+P10+S10</f>
        <v>18785</v>
      </c>
      <c r="W10" s="528">
        <f>H10+K10+N10+Q10+T10</f>
        <v>18785</v>
      </c>
      <c r="X10" s="529">
        <f t="shared" ref="X10:X31" si="4">I10+L10+O10+R10+U10</f>
        <v>0</v>
      </c>
    </row>
    <row r="11" spans="1:24" s="532" customFormat="1" ht="24.95" customHeight="1">
      <c r="A11" s="1336">
        <v>3</v>
      </c>
      <c r="B11" s="1332" t="s">
        <v>187</v>
      </c>
      <c r="C11" s="1272" t="s">
        <v>961</v>
      </c>
      <c r="D11" s="1277">
        <f>E11+F11</f>
        <v>1770</v>
      </c>
      <c r="E11" s="1262">
        <v>1770</v>
      </c>
      <c r="F11" s="1278"/>
      <c r="G11" s="527">
        <f t="shared" si="2"/>
        <v>250</v>
      </c>
      <c r="H11" s="528">
        <v>250</v>
      </c>
      <c r="I11" s="529"/>
      <c r="J11" s="527"/>
      <c r="K11" s="528"/>
      <c r="L11" s="529"/>
      <c r="M11" s="527">
        <f t="shared" si="0"/>
        <v>0</v>
      </c>
      <c r="N11" s="528">
        <v>0</v>
      </c>
      <c r="O11" s="529"/>
      <c r="P11" s="527">
        <f t="shared" si="1"/>
        <v>0</v>
      </c>
      <c r="Q11" s="528">
        <v>0</v>
      </c>
      <c r="R11" s="529"/>
      <c r="S11" s="527"/>
      <c r="T11" s="528"/>
      <c r="U11" s="529"/>
      <c r="V11" s="536">
        <f>G11+J11+M11+P11+S11+D11</f>
        <v>2020</v>
      </c>
      <c r="W11" s="528">
        <f>H11+K11+N11+Q11+T11+E11</f>
        <v>2020</v>
      </c>
      <c r="X11" s="529">
        <f>I11+L11+O11+R11+U11+F11</f>
        <v>0</v>
      </c>
    </row>
    <row r="12" spans="1:24" s="541" customFormat="1" ht="24.95" customHeight="1">
      <c r="A12" s="1337">
        <v>4</v>
      </c>
      <c r="B12" s="544" t="s">
        <v>189</v>
      </c>
      <c r="C12" s="1273" t="s">
        <v>728</v>
      </c>
      <c r="D12" s="1279"/>
      <c r="E12" s="1263"/>
      <c r="F12" s="1280"/>
      <c r="G12" s="543">
        <f t="shared" si="2"/>
        <v>1800</v>
      </c>
      <c r="H12" s="537">
        <f>'T1 wodociag 2022-2026'!I62</f>
        <v>1800</v>
      </c>
      <c r="I12" s="538">
        <v>0</v>
      </c>
      <c r="J12" s="543">
        <f>K12+L12</f>
        <v>0</v>
      </c>
      <c r="K12" s="537">
        <v>0</v>
      </c>
      <c r="L12" s="538">
        <v>0</v>
      </c>
      <c r="M12" s="536">
        <f t="shared" si="0"/>
        <v>0</v>
      </c>
      <c r="N12" s="537">
        <v>0</v>
      </c>
      <c r="O12" s="538">
        <f>'T1 wodociag 2022-2026'!G62</f>
        <v>0</v>
      </c>
      <c r="P12" s="543">
        <f t="shared" si="1"/>
        <v>670</v>
      </c>
      <c r="Q12" s="537">
        <f>'T1 wodociag 2022-2026'!R62</f>
        <v>670</v>
      </c>
      <c r="R12" s="538">
        <f>'T1 wodociag 2022-2026'!J62</f>
        <v>0</v>
      </c>
      <c r="S12" s="543"/>
      <c r="T12" s="535"/>
      <c r="U12" s="542"/>
      <c r="V12" s="536">
        <f>G12+J12+M12+P12+S12</f>
        <v>2470</v>
      </c>
      <c r="W12" s="528">
        <f t="shared" ref="W12:W33" si="5">H12+K12+N12+Q12+T12</f>
        <v>2470</v>
      </c>
      <c r="X12" s="529">
        <f t="shared" si="4"/>
        <v>0</v>
      </c>
    </row>
    <row r="13" spans="1:24" s="532" customFormat="1" ht="24.95" customHeight="1">
      <c r="A13" s="1336">
        <v>5</v>
      </c>
      <c r="B13" s="1332" t="s">
        <v>187</v>
      </c>
      <c r="C13" s="1272" t="s">
        <v>962</v>
      </c>
      <c r="D13" s="1277">
        <f>E13+F13</f>
        <v>13710</v>
      </c>
      <c r="E13" s="1262">
        <v>8710</v>
      </c>
      <c r="F13" s="1278">
        <v>5000</v>
      </c>
      <c r="G13" s="527">
        <f t="shared" si="2"/>
        <v>11865</v>
      </c>
      <c r="H13" s="528">
        <v>6865</v>
      </c>
      <c r="I13" s="529">
        <v>5000</v>
      </c>
      <c r="J13" s="527">
        <f>K13+L13</f>
        <v>6985</v>
      </c>
      <c r="K13" s="528">
        <v>6985</v>
      </c>
      <c r="L13" s="529"/>
      <c r="M13" s="527">
        <f t="shared" si="0"/>
        <v>5575</v>
      </c>
      <c r="N13" s="528">
        <v>5575</v>
      </c>
      <c r="O13" s="529"/>
      <c r="P13" s="527">
        <f t="shared" si="1"/>
        <v>3725</v>
      </c>
      <c r="Q13" s="528">
        <v>3725</v>
      </c>
      <c r="R13" s="529"/>
      <c r="S13" s="527">
        <f>T13+U13</f>
        <v>0</v>
      </c>
      <c r="T13" s="528"/>
      <c r="U13" s="529"/>
      <c r="V13" s="536">
        <f>G13+J13+M13+P13+S13+D13</f>
        <v>41860</v>
      </c>
      <c r="W13" s="528">
        <f>H13+K13+N13+Q13+T13+E13</f>
        <v>31860</v>
      </c>
      <c r="X13" s="529">
        <f>I13+L13+O13+R13+U13+F13</f>
        <v>10000</v>
      </c>
    </row>
    <row r="14" spans="1:24" s="541" customFormat="1" ht="24.95" customHeight="1">
      <c r="A14" s="1337">
        <v>6</v>
      </c>
      <c r="B14" s="544" t="s">
        <v>189</v>
      </c>
      <c r="C14" s="1273" t="s">
        <v>962</v>
      </c>
      <c r="D14" s="1279"/>
      <c r="E14" s="1263"/>
      <c r="F14" s="1280"/>
      <c r="G14" s="536">
        <f t="shared" si="2"/>
        <v>11385</v>
      </c>
      <c r="H14" s="537">
        <f>'T1 wodociag 2022-2026'!I85</f>
        <v>6385</v>
      </c>
      <c r="I14" s="538">
        <f>'T1 wodociag 2022-2026'!J85</f>
        <v>5000</v>
      </c>
      <c r="J14" s="536">
        <f>K14+L14</f>
        <v>13515</v>
      </c>
      <c r="K14" s="537">
        <f>'T1 wodociag 2022-2026'!L85</f>
        <v>6092</v>
      </c>
      <c r="L14" s="538">
        <f>'T1 wodociag 2022-2026'!M85</f>
        <v>7423</v>
      </c>
      <c r="M14" s="536">
        <f t="shared" si="0"/>
        <v>12865</v>
      </c>
      <c r="N14" s="537">
        <f>'T1 wodociag 2022-2026'!O85</f>
        <v>8275</v>
      </c>
      <c r="O14" s="538">
        <f>'T1 wodociag 2022-2026'!P85</f>
        <v>4590</v>
      </c>
      <c r="P14" s="536">
        <f t="shared" si="1"/>
        <v>3480</v>
      </c>
      <c r="Q14" s="537">
        <f>'T1 wodociag 2022-2026'!R85</f>
        <v>3480</v>
      </c>
      <c r="R14" s="538">
        <v>0</v>
      </c>
      <c r="S14" s="536">
        <f>T14+U14</f>
        <v>5955</v>
      </c>
      <c r="T14" s="537">
        <f>'T1 wodociag 2022-2026'!U85</f>
        <v>5955</v>
      </c>
      <c r="U14" s="538"/>
      <c r="V14" s="536">
        <f t="shared" ref="V14:V18" si="6">G14+J14+M14+P14+S14</f>
        <v>47200</v>
      </c>
      <c r="W14" s="528">
        <f t="shared" si="5"/>
        <v>30187</v>
      </c>
      <c r="X14" s="529">
        <f t="shared" si="4"/>
        <v>17013</v>
      </c>
    </row>
    <row r="15" spans="1:24" s="532" customFormat="1" ht="39.75" customHeight="1">
      <c r="A15" s="1336">
        <v>7</v>
      </c>
      <c r="B15" s="1332" t="s">
        <v>187</v>
      </c>
      <c r="C15" s="1272" t="s">
        <v>736</v>
      </c>
      <c r="D15" s="1277">
        <f>E15+F15</f>
        <v>650</v>
      </c>
      <c r="E15" s="1262">
        <v>650</v>
      </c>
      <c r="F15" s="1278"/>
      <c r="G15" s="527">
        <f t="shared" si="2"/>
        <v>650</v>
      </c>
      <c r="H15" s="528">
        <v>650</v>
      </c>
      <c r="I15" s="529"/>
      <c r="J15" s="527">
        <f>K15+L15</f>
        <v>650</v>
      </c>
      <c r="K15" s="528">
        <v>650</v>
      </c>
      <c r="L15" s="529"/>
      <c r="M15" s="527">
        <f t="shared" si="0"/>
        <v>650</v>
      </c>
      <c r="N15" s="528">
        <v>650</v>
      </c>
      <c r="O15" s="529"/>
      <c r="P15" s="527">
        <f t="shared" si="1"/>
        <v>650</v>
      </c>
      <c r="Q15" s="528">
        <v>650</v>
      </c>
      <c r="R15" s="529"/>
      <c r="S15" s="527">
        <f>T15+U15</f>
        <v>0</v>
      </c>
      <c r="T15" s="528">
        <v>0</v>
      </c>
      <c r="U15" s="529"/>
      <c r="V15" s="536">
        <f>G15+J15+M15+P15+S15+D15</f>
        <v>3250</v>
      </c>
      <c r="W15" s="528">
        <f>H15+K15+N15+Q15+T15+E15</f>
        <v>3250</v>
      </c>
      <c r="X15" s="529">
        <f>I15+L15+O15+R15+U15+F15</f>
        <v>0</v>
      </c>
    </row>
    <row r="16" spans="1:24" s="541" customFormat="1" ht="43.5" customHeight="1">
      <c r="A16" s="1337">
        <v>8</v>
      </c>
      <c r="B16" s="544" t="s">
        <v>189</v>
      </c>
      <c r="C16" s="1273" t="s">
        <v>736</v>
      </c>
      <c r="D16" s="1279"/>
      <c r="E16" s="1263"/>
      <c r="F16" s="1280"/>
      <c r="G16" s="536">
        <f t="shared" si="2"/>
        <v>650</v>
      </c>
      <c r="H16" s="537">
        <f>'T1 wodociag 2022-2026'!I89</f>
        <v>650</v>
      </c>
      <c r="I16" s="538"/>
      <c r="J16" s="536">
        <f>K16+L16</f>
        <v>650</v>
      </c>
      <c r="K16" s="537">
        <f>'T1 wodociag 2022-2026'!L89</f>
        <v>650</v>
      </c>
      <c r="L16" s="538"/>
      <c r="M16" s="536">
        <f t="shared" si="0"/>
        <v>650</v>
      </c>
      <c r="N16" s="537">
        <f>'T1 wodociag 2022-2026'!O89</f>
        <v>650</v>
      </c>
      <c r="O16" s="538"/>
      <c r="P16" s="536">
        <f t="shared" si="1"/>
        <v>650</v>
      </c>
      <c r="Q16" s="537">
        <f>'T1 wodociag 2022-2026'!R89</f>
        <v>650</v>
      </c>
      <c r="R16" s="538"/>
      <c r="S16" s="536">
        <f>T16+U16</f>
        <v>1150</v>
      </c>
      <c r="T16" s="537">
        <f>'T1 wodociag 2022-2026'!U89</f>
        <v>1150</v>
      </c>
      <c r="U16" s="538"/>
      <c r="V16" s="536">
        <f t="shared" si="6"/>
        <v>3750</v>
      </c>
      <c r="W16" s="528">
        <f t="shared" si="5"/>
        <v>3750</v>
      </c>
      <c r="X16" s="529">
        <f t="shared" si="4"/>
        <v>0</v>
      </c>
    </row>
    <row r="17" spans="1:24" s="703" customFormat="1" ht="36" customHeight="1">
      <c r="A17" s="1336">
        <v>9</v>
      </c>
      <c r="B17" s="1333" t="s">
        <v>187</v>
      </c>
      <c r="C17" s="1274" t="s">
        <v>968</v>
      </c>
      <c r="D17" s="1281">
        <f>E17+F17</f>
        <v>21170</v>
      </c>
      <c r="E17" s="702">
        <f t="shared" ref="E17:U17" si="7">E9+E11+E13+E15</f>
        <v>16170</v>
      </c>
      <c r="F17" s="717">
        <f t="shared" si="7"/>
        <v>5000</v>
      </c>
      <c r="G17" s="1270">
        <f t="shared" si="7"/>
        <v>16545</v>
      </c>
      <c r="H17" s="1269">
        <f t="shared" si="7"/>
        <v>11545</v>
      </c>
      <c r="I17" s="1271">
        <f t="shared" si="7"/>
        <v>5000</v>
      </c>
      <c r="J17" s="1270">
        <f t="shared" si="7"/>
        <v>12745</v>
      </c>
      <c r="K17" s="702">
        <f t="shared" si="7"/>
        <v>12745</v>
      </c>
      <c r="L17" s="717">
        <f t="shared" si="7"/>
        <v>0</v>
      </c>
      <c r="M17" s="1270">
        <f t="shared" si="7"/>
        <v>9935</v>
      </c>
      <c r="N17" s="702">
        <f t="shared" si="7"/>
        <v>9935</v>
      </c>
      <c r="O17" s="717">
        <f t="shared" si="7"/>
        <v>0</v>
      </c>
      <c r="P17" s="1270">
        <f t="shared" si="7"/>
        <v>5595</v>
      </c>
      <c r="Q17" s="702">
        <f t="shared" si="7"/>
        <v>5595</v>
      </c>
      <c r="R17" s="717">
        <f t="shared" si="7"/>
        <v>0</v>
      </c>
      <c r="S17" s="1270">
        <f t="shared" si="7"/>
        <v>0</v>
      </c>
      <c r="T17" s="702">
        <f t="shared" si="7"/>
        <v>0</v>
      </c>
      <c r="U17" s="717">
        <f t="shared" si="7"/>
        <v>0</v>
      </c>
      <c r="V17" s="536">
        <f>G17+J17+M17+P17+S17+D17</f>
        <v>65990</v>
      </c>
      <c r="W17" s="528">
        <f>H17+K17+N17+Q17+T17+E17</f>
        <v>55990</v>
      </c>
      <c r="X17" s="529">
        <f>I17+L17+O17+R17+U17+F17</f>
        <v>10000</v>
      </c>
    </row>
    <row r="18" spans="1:24" s="708" customFormat="1" ht="36" customHeight="1" thickBot="1">
      <c r="A18" s="1338">
        <v>10</v>
      </c>
      <c r="B18" s="1334" t="s">
        <v>189</v>
      </c>
      <c r="C18" s="1303" t="s">
        <v>969</v>
      </c>
      <c r="D18" s="1304"/>
      <c r="E18" s="1259"/>
      <c r="F18" s="1305"/>
      <c r="G18" s="705">
        <f t="shared" ref="G18:U18" si="8">G10+G12+G14+G16</f>
        <v>18865</v>
      </c>
      <c r="H18" s="704">
        <f t="shared" si="8"/>
        <v>13865</v>
      </c>
      <c r="I18" s="706">
        <f t="shared" si="8"/>
        <v>5000</v>
      </c>
      <c r="J18" s="705">
        <f t="shared" si="8"/>
        <v>19005</v>
      </c>
      <c r="K18" s="704">
        <f t="shared" si="8"/>
        <v>11582</v>
      </c>
      <c r="L18" s="706">
        <f t="shared" si="8"/>
        <v>7423</v>
      </c>
      <c r="M18" s="705">
        <f t="shared" si="8"/>
        <v>16920</v>
      </c>
      <c r="N18" s="704">
        <f t="shared" si="8"/>
        <v>12330</v>
      </c>
      <c r="O18" s="706">
        <f t="shared" si="8"/>
        <v>4590</v>
      </c>
      <c r="P18" s="705">
        <f t="shared" si="8"/>
        <v>8130</v>
      </c>
      <c r="Q18" s="704">
        <f t="shared" si="8"/>
        <v>8130</v>
      </c>
      <c r="R18" s="706">
        <f t="shared" si="8"/>
        <v>0</v>
      </c>
      <c r="S18" s="705">
        <f t="shared" si="8"/>
        <v>9285</v>
      </c>
      <c r="T18" s="704">
        <f t="shared" si="8"/>
        <v>9285</v>
      </c>
      <c r="U18" s="706">
        <f t="shared" si="8"/>
        <v>0</v>
      </c>
      <c r="V18" s="1306">
        <f t="shared" si="6"/>
        <v>72205</v>
      </c>
      <c r="W18" s="1307">
        <f t="shared" si="5"/>
        <v>55192</v>
      </c>
      <c r="X18" s="1308">
        <f>I18+L18+O18+R18+U18</f>
        <v>17013</v>
      </c>
    </row>
    <row r="19" spans="1:24" ht="20.100000000000001" customHeight="1" thickTop="1" thickBot="1">
      <c r="A19" s="1341" t="s">
        <v>185</v>
      </c>
      <c r="B19" s="1315"/>
      <c r="C19" s="1316"/>
      <c r="D19" s="1317"/>
      <c r="E19" s="1317"/>
      <c r="F19" s="1317"/>
      <c r="G19" s="1318"/>
      <c r="H19" s="1319"/>
      <c r="I19" s="1320"/>
      <c r="J19" s="1321"/>
      <c r="K19" s="1319"/>
      <c r="L19" s="1322"/>
      <c r="M19" s="1318"/>
      <c r="N19" s="1319"/>
      <c r="O19" s="1320"/>
      <c r="P19" s="1321"/>
      <c r="Q19" s="1319"/>
      <c r="R19" s="1322"/>
      <c r="S19" s="1318"/>
      <c r="T19" s="1319"/>
      <c r="U19" s="1320"/>
      <c r="V19" s="1321"/>
      <c r="W19" s="1319"/>
      <c r="X19" s="1320"/>
    </row>
    <row r="20" spans="1:24" ht="32.1" customHeight="1" thickTop="1">
      <c r="A20" s="1342">
        <v>11</v>
      </c>
      <c r="B20" s="1258" t="s">
        <v>187</v>
      </c>
      <c r="C20" s="1309" t="s">
        <v>504</v>
      </c>
      <c r="D20" s="1310">
        <f>E20+F20</f>
        <v>43810</v>
      </c>
      <c r="E20" s="1311">
        <v>26751</v>
      </c>
      <c r="F20" s="1312">
        <v>17059</v>
      </c>
      <c r="G20" s="1266">
        <f t="shared" ref="G20:G29" si="9">H20+I20</f>
        <v>20994</v>
      </c>
      <c r="H20" s="1267">
        <v>8856</v>
      </c>
      <c r="I20" s="1268">
        <v>12138</v>
      </c>
      <c r="J20" s="1266">
        <f t="shared" ref="J20:J29" si="10">K20+L20</f>
        <v>4985</v>
      </c>
      <c r="K20" s="1267">
        <v>4985</v>
      </c>
      <c r="L20" s="1268">
        <v>0</v>
      </c>
      <c r="M20" s="1266">
        <f t="shared" ref="M20:M29" si="11">N20+O20</f>
        <v>0</v>
      </c>
      <c r="N20" s="1267">
        <v>0</v>
      </c>
      <c r="O20" s="1268">
        <v>0</v>
      </c>
      <c r="P20" s="1266">
        <f t="shared" ref="P20:P29" si="12">Q20+R20</f>
        <v>0</v>
      </c>
      <c r="Q20" s="1267">
        <v>0</v>
      </c>
      <c r="R20" s="1268"/>
      <c r="S20" s="1266"/>
      <c r="T20" s="1267"/>
      <c r="U20" s="1268"/>
      <c r="V20" s="1301">
        <f>G20+J20+M20+P20+S20+D20</f>
        <v>69789</v>
      </c>
      <c r="W20" s="1302">
        <f>H20+K20+N20+Q20+T20+E20</f>
        <v>40592</v>
      </c>
      <c r="X20" s="1348">
        <f>I20+L20+O20+R20+U20+F20</f>
        <v>29197</v>
      </c>
    </row>
    <row r="21" spans="1:24" s="541" customFormat="1" ht="32.1" customHeight="1">
      <c r="A21" s="1337">
        <v>12</v>
      </c>
      <c r="B21" s="544" t="s">
        <v>189</v>
      </c>
      <c r="C21" s="1273" t="s">
        <v>849</v>
      </c>
      <c r="D21" s="1279"/>
      <c r="E21" s="1263"/>
      <c r="F21" s="1280"/>
      <c r="G21" s="536">
        <f t="shared" si="9"/>
        <v>14191</v>
      </c>
      <c r="H21" s="537">
        <f>'T2 kanalizacja 2022-2026'!I18</f>
        <v>12270</v>
      </c>
      <c r="I21" s="538">
        <f>'T2 kanalizacja 2022-2026'!J18</f>
        <v>1921</v>
      </c>
      <c r="J21" s="536">
        <f t="shared" si="10"/>
        <v>20292</v>
      </c>
      <c r="K21" s="537">
        <f>'T2 kanalizacja 2022-2026'!L18</f>
        <v>3554</v>
      </c>
      <c r="L21" s="538">
        <f>'T2 kanalizacja 2022-2026'!M18</f>
        <v>16738</v>
      </c>
      <c r="M21" s="536">
        <f t="shared" si="11"/>
        <v>29384</v>
      </c>
      <c r="N21" s="537">
        <f>'T2 kanalizacja 2022-2026'!O18</f>
        <v>6533</v>
      </c>
      <c r="O21" s="538">
        <f>'T2 kanalizacja 2022-2026'!P18</f>
        <v>22851</v>
      </c>
      <c r="P21" s="536">
        <f t="shared" si="12"/>
        <v>21739</v>
      </c>
      <c r="Q21" s="537">
        <f>'T2 kanalizacja 2022-2026'!R18</f>
        <v>7548</v>
      </c>
      <c r="R21" s="538">
        <f>'T2 kanalizacja 2022-2026'!S18</f>
        <v>14191</v>
      </c>
      <c r="S21" s="536">
        <f t="shared" ref="S21:S29" si="13">T21+U21</f>
        <v>13500</v>
      </c>
      <c r="T21" s="537">
        <f>'T2 kanalizacja 2022-2026'!U18</f>
        <v>13500</v>
      </c>
      <c r="U21" s="538"/>
      <c r="V21" s="536">
        <f t="shared" ref="V21:V33" si="14">G21+J21+M21+P21+S21</f>
        <v>99106</v>
      </c>
      <c r="W21" s="528">
        <f t="shared" si="5"/>
        <v>43405</v>
      </c>
      <c r="X21" s="529">
        <f t="shared" si="4"/>
        <v>55701</v>
      </c>
    </row>
    <row r="22" spans="1:24" ht="24.95" customHeight="1">
      <c r="A22" s="1343">
        <v>13</v>
      </c>
      <c r="B22" s="1276" t="s">
        <v>187</v>
      </c>
      <c r="C22" s="1284" t="s">
        <v>166</v>
      </c>
      <c r="D22" s="1286">
        <f>E22+F22</f>
        <v>10970</v>
      </c>
      <c r="E22" s="1264">
        <v>10970</v>
      </c>
      <c r="F22" s="1287"/>
      <c r="G22" s="567">
        <f t="shared" si="9"/>
        <v>5400</v>
      </c>
      <c r="H22" s="258">
        <v>5400</v>
      </c>
      <c r="I22" s="568"/>
      <c r="J22" s="567">
        <f t="shared" si="10"/>
        <v>9845</v>
      </c>
      <c r="K22" s="258">
        <v>9845</v>
      </c>
      <c r="L22" s="568"/>
      <c r="M22" s="567">
        <f t="shared" si="11"/>
        <v>7230</v>
      </c>
      <c r="N22" s="258">
        <v>7230</v>
      </c>
      <c r="O22" s="568"/>
      <c r="P22" s="567">
        <f t="shared" si="12"/>
        <v>4500</v>
      </c>
      <c r="Q22" s="258">
        <v>4500</v>
      </c>
      <c r="R22" s="568"/>
      <c r="S22" s="567">
        <f t="shared" si="13"/>
        <v>0</v>
      </c>
      <c r="T22" s="258">
        <v>0</v>
      </c>
      <c r="U22" s="568"/>
      <c r="V22" s="536">
        <f>G22+J22+M22+P22+S22+D22</f>
        <v>37945</v>
      </c>
      <c r="W22" s="528">
        <f>H22+K22+N22+Q22+T22+E22</f>
        <v>37945</v>
      </c>
      <c r="X22" s="529">
        <f>I22+L22+O22+R22+U22+F22</f>
        <v>0</v>
      </c>
    </row>
    <row r="23" spans="1:24" s="541" customFormat="1" ht="24.95" customHeight="1">
      <c r="A23" s="1337">
        <v>14</v>
      </c>
      <c r="B23" s="544" t="s">
        <v>189</v>
      </c>
      <c r="C23" s="1273" t="s">
        <v>538</v>
      </c>
      <c r="D23" s="1279"/>
      <c r="E23" s="1263"/>
      <c r="F23" s="1280"/>
      <c r="G23" s="536">
        <f t="shared" si="9"/>
        <v>9860</v>
      </c>
      <c r="H23" s="537">
        <f>'T2 kanalizacja 2022-2026'!I61</f>
        <v>9860</v>
      </c>
      <c r="I23" s="538">
        <v>0</v>
      </c>
      <c r="J23" s="536">
        <f t="shared" si="10"/>
        <v>8320</v>
      </c>
      <c r="K23" s="537">
        <f>'T2 kanalizacja 2022-2026'!L61</f>
        <v>8320</v>
      </c>
      <c r="L23" s="538">
        <v>0</v>
      </c>
      <c r="M23" s="536">
        <f t="shared" si="11"/>
        <v>3365</v>
      </c>
      <c r="N23" s="537">
        <f>'T2 kanalizacja 2022-2026'!O61</f>
        <v>3365</v>
      </c>
      <c r="O23" s="538">
        <f>'T2 kanalizacja 2022-2026'!G61</f>
        <v>0</v>
      </c>
      <c r="P23" s="536">
        <f t="shared" si="12"/>
        <v>7550</v>
      </c>
      <c r="Q23" s="537">
        <f>'T2 kanalizacja 2022-2026'!R61</f>
        <v>7550</v>
      </c>
      <c r="R23" s="538">
        <f>'T2 kanalizacja 2022-2026'!J61</f>
        <v>0</v>
      </c>
      <c r="S23" s="536">
        <f t="shared" si="13"/>
        <v>8150</v>
      </c>
      <c r="T23" s="537">
        <f>'T2 kanalizacja 2022-2026'!U61</f>
        <v>8150</v>
      </c>
      <c r="U23" s="538">
        <f>'T2 kanalizacja 2022-2026'!M61</f>
        <v>0</v>
      </c>
      <c r="V23" s="536">
        <f t="shared" si="14"/>
        <v>37245</v>
      </c>
      <c r="W23" s="528">
        <f t="shared" si="5"/>
        <v>37245</v>
      </c>
      <c r="X23" s="529">
        <f t="shared" si="4"/>
        <v>0</v>
      </c>
    </row>
    <row r="24" spans="1:24" ht="24.95" customHeight="1">
      <c r="A24" s="1343">
        <v>15</v>
      </c>
      <c r="B24" s="1276" t="s">
        <v>187</v>
      </c>
      <c r="C24" s="1284" t="s">
        <v>167</v>
      </c>
      <c r="D24" s="1286">
        <f>E24+F24</f>
        <v>6260</v>
      </c>
      <c r="E24" s="1264">
        <v>6260</v>
      </c>
      <c r="F24" s="1287"/>
      <c r="G24" s="567">
        <f t="shared" si="9"/>
        <v>160</v>
      </c>
      <c r="H24" s="258">
        <v>160</v>
      </c>
      <c r="I24" s="568"/>
      <c r="J24" s="567">
        <f t="shared" si="10"/>
        <v>2732</v>
      </c>
      <c r="K24" s="258">
        <v>2732</v>
      </c>
      <c r="L24" s="568"/>
      <c r="M24" s="567">
        <f t="shared" si="11"/>
        <v>10300</v>
      </c>
      <c r="N24" s="258">
        <v>1800</v>
      </c>
      <c r="O24" s="568">
        <v>8500</v>
      </c>
      <c r="P24" s="567">
        <f t="shared" si="12"/>
        <v>32200</v>
      </c>
      <c r="Q24" s="258">
        <v>10950</v>
      </c>
      <c r="R24" s="568">
        <v>21250</v>
      </c>
      <c r="S24" s="567">
        <f t="shared" si="13"/>
        <v>0</v>
      </c>
      <c r="T24" s="258"/>
      <c r="U24" s="568"/>
      <c r="V24" s="536">
        <f>G24+J24+M24+P24+S24+D24</f>
        <v>51652</v>
      </c>
      <c r="W24" s="528">
        <f>H24+K24+N24+Q24+T24+E24</f>
        <v>21902</v>
      </c>
      <c r="X24" s="529">
        <f>I24+L24+O24+R24+U24+F24</f>
        <v>29750</v>
      </c>
    </row>
    <row r="25" spans="1:24" s="541" customFormat="1" ht="24.95" customHeight="1">
      <c r="A25" s="1337">
        <v>16</v>
      </c>
      <c r="B25" s="544" t="s">
        <v>189</v>
      </c>
      <c r="C25" s="1273" t="s">
        <v>167</v>
      </c>
      <c r="D25" s="1279"/>
      <c r="E25" s="1263"/>
      <c r="F25" s="1280"/>
      <c r="G25" s="536">
        <f t="shared" si="9"/>
        <v>140</v>
      </c>
      <c r="H25" s="537">
        <f>'T2 kanalizacja 2022-2026'!I78</f>
        <v>140</v>
      </c>
      <c r="I25" s="538"/>
      <c r="J25" s="536">
        <f t="shared" si="10"/>
        <v>2577</v>
      </c>
      <c r="K25" s="537">
        <f>'T2 kanalizacja 2022-2026'!L78</f>
        <v>2577</v>
      </c>
      <c r="L25" s="538"/>
      <c r="M25" s="536">
        <f t="shared" si="11"/>
        <v>2570</v>
      </c>
      <c r="N25" s="537">
        <f>'T2 kanalizacja 2022-2026'!O78</f>
        <v>2570</v>
      </c>
      <c r="O25" s="538"/>
      <c r="P25" s="536">
        <f t="shared" si="12"/>
        <v>0</v>
      </c>
      <c r="Q25" s="537">
        <v>0</v>
      </c>
      <c r="R25" s="538"/>
      <c r="S25" s="536">
        <f t="shared" si="13"/>
        <v>0</v>
      </c>
      <c r="T25" s="537">
        <v>0</v>
      </c>
      <c r="U25" s="538"/>
      <c r="V25" s="536">
        <f t="shared" si="14"/>
        <v>5287</v>
      </c>
      <c r="W25" s="528">
        <f t="shared" si="5"/>
        <v>5287</v>
      </c>
      <c r="X25" s="529">
        <f t="shared" si="4"/>
        <v>0</v>
      </c>
    </row>
    <row r="26" spans="1:24" ht="24.95" customHeight="1">
      <c r="A26" s="1343">
        <v>17</v>
      </c>
      <c r="B26" s="1276" t="s">
        <v>187</v>
      </c>
      <c r="C26" s="1284" t="s">
        <v>168</v>
      </c>
      <c r="D26" s="1286">
        <f>E26+F26</f>
        <v>2775</v>
      </c>
      <c r="E26" s="1264">
        <v>2775</v>
      </c>
      <c r="F26" s="1287"/>
      <c r="G26" s="567">
        <f t="shared" si="9"/>
        <v>1285</v>
      </c>
      <c r="H26" s="258">
        <v>1285</v>
      </c>
      <c r="I26" s="568"/>
      <c r="J26" s="567">
        <f t="shared" si="10"/>
        <v>4275</v>
      </c>
      <c r="K26" s="258">
        <v>4275</v>
      </c>
      <c r="L26" s="568"/>
      <c r="M26" s="567">
        <f t="shared" si="11"/>
        <v>5025</v>
      </c>
      <c r="N26" s="258">
        <v>5025</v>
      </c>
      <c r="O26" s="568"/>
      <c r="P26" s="567">
        <f t="shared" si="12"/>
        <v>825</v>
      </c>
      <c r="Q26" s="258">
        <v>825</v>
      </c>
      <c r="R26" s="568"/>
      <c r="S26" s="567">
        <f t="shared" si="13"/>
        <v>0</v>
      </c>
      <c r="T26" s="258">
        <v>0</v>
      </c>
      <c r="U26" s="568"/>
      <c r="V26" s="536">
        <f>G26+J26+M26+P26+S26+D26</f>
        <v>14185</v>
      </c>
      <c r="W26" s="528">
        <f>H26+K26+N26+Q26+T26+E26</f>
        <v>14185</v>
      </c>
      <c r="X26" s="529">
        <f>I26+L26+O26+R26+U26+F26</f>
        <v>0</v>
      </c>
    </row>
    <row r="27" spans="1:24" s="541" customFormat="1" ht="24.95" customHeight="1">
      <c r="A27" s="1337">
        <v>18</v>
      </c>
      <c r="B27" s="544" t="s">
        <v>189</v>
      </c>
      <c r="C27" s="1273" t="s">
        <v>168</v>
      </c>
      <c r="D27" s="1279"/>
      <c r="E27" s="1263"/>
      <c r="F27" s="1280"/>
      <c r="G27" s="536">
        <f t="shared" si="9"/>
        <v>840</v>
      </c>
      <c r="H27" s="537">
        <f>'T2 kanalizacja 2022-2026'!I88</f>
        <v>840</v>
      </c>
      <c r="I27" s="538"/>
      <c r="J27" s="536">
        <f t="shared" si="10"/>
        <v>8550</v>
      </c>
      <c r="K27" s="537">
        <f>'T2 kanalizacja 2022-2026'!L88</f>
        <v>8550</v>
      </c>
      <c r="L27" s="538"/>
      <c r="M27" s="536">
        <f t="shared" si="11"/>
        <v>8320</v>
      </c>
      <c r="N27" s="537">
        <f>'T2 kanalizacja 2022-2026'!O88</f>
        <v>8320</v>
      </c>
      <c r="O27" s="538"/>
      <c r="P27" s="536">
        <f t="shared" si="12"/>
        <v>1150</v>
      </c>
      <c r="Q27" s="537">
        <f>'T2 kanalizacja 2022-2026'!R88</f>
        <v>1150</v>
      </c>
      <c r="R27" s="538"/>
      <c r="S27" s="536">
        <f t="shared" si="13"/>
        <v>1150</v>
      </c>
      <c r="T27" s="537">
        <f>'T2 kanalizacja 2022-2026'!U88</f>
        <v>1150</v>
      </c>
      <c r="U27" s="538"/>
      <c r="V27" s="536">
        <f t="shared" si="14"/>
        <v>20010</v>
      </c>
      <c r="W27" s="528">
        <f t="shared" si="5"/>
        <v>20010</v>
      </c>
      <c r="X27" s="529">
        <f t="shared" si="4"/>
        <v>0</v>
      </c>
    </row>
    <row r="28" spans="1:24" s="252" customFormat="1" ht="39" customHeight="1">
      <c r="A28" s="1343">
        <v>19</v>
      </c>
      <c r="B28" s="1276" t="s">
        <v>187</v>
      </c>
      <c r="C28" s="1285" t="s">
        <v>348</v>
      </c>
      <c r="D28" s="1288">
        <f>E28+F28</f>
        <v>650</v>
      </c>
      <c r="E28" s="1265">
        <v>650</v>
      </c>
      <c r="F28" s="1289"/>
      <c r="G28" s="569">
        <f t="shared" si="9"/>
        <v>650</v>
      </c>
      <c r="H28" s="264">
        <v>650</v>
      </c>
      <c r="I28" s="570"/>
      <c r="J28" s="569">
        <f t="shared" si="10"/>
        <v>650</v>
      </c>
      <c r="K28" s="264">
        <v>650</v>
      </c>
      <c r="L28" s="570"/>
      <c r="M28" s="569">
        <f t="shared" si="11"/>
        <v>650</v>
      </c>
      <c r="N28" s="264">
        <v>650</v>
      </c>
      <c r="O28" s="570"/>
      <c r="P28" s="569">
        <f t="shared" si="12"/>
        <v>650</v>
      </c>
      <c r="Q28" s="264">
        <v>650</v>
      </c>
      <c r="R28" s="570"/>
      <c r="S28" s="569">
        <f t="shared" si="13"/>
        <v>0</v>
      </c>
      <c r="T28" s="264">
        <v>0</v>
      </c>
      <c r="U28" s="570"/>
      <c r="V28" s="536">
        <f>G28+J28+M28+P28+S28+D28</f>
        <v>3250</v>
      </c>
      <c r="W28" s="528">
        <f>H28+K28+N28+Q28+T28+E28</f>
        <v>3250</v>
      </c>
      <c r="X28" s="529">
        <f>I28+L28+O28+R28+U28+F28</f>
        <v>0</v>
      </c>
    </row>
    <row r="29" spans="1:24" s="571" customFormat="1" ht="45.75" customHeight="1">
      <c r="A29" s="1337">
        <v>20</v>
      </c>
      <c r="B29" s="544" t="s">
        <v>189</v>
      </c>
      <c r="C29" s="1273" t="s">
        <v>348</v>
      </c>
      <c r="D29" s="1279"/>
      <c r="E29" s="1263"/>
      <c r="F29" s="1280"/>
      <c r="G29" s="536">
        <f t="shared" si="9"/>
        <v>650</v>
      </c>
      <c r="H29" s="537">
        <f>'T2 kanalizacja 2022-2026'!I92</f>
        <v>650</v>
      </c>
      <c r="I29" s="538"/>
      <c r="J29" s="536">
        <f t="shared" si="10"/>
        <v>650</v>
      </c>
      <c r="K29" s="537">
        <f>'T2 kanalizacja 2022-2026'!L92</f>
        <v>650</v>
      </c>
      <c r="L29" s="538"/>
      <c r="M29" s="536">
        <f t="shared" si="11"/>
        <v>650</v>
      </c>
      <c r="N29" s="537">
        <f>'T2 kanalizacja 2022-2026'!O92</f>
        <v>650</v>
      </c>
      <c r="O29" s="538"/>
      <c r="P29" s="536">
        <f t="shared" si="12"/>
        <v>1150</v>
      </c>
      <c r="Q29" s="537">
        <f>'T2 kanalizacja 2022-2026'!R92</f>
        <v>1150</v>
      </c>
      <c r="R29" s="538"/>
      <c r="S29" s="536">
        <f t="shared" si="13"/>
        <v>1150</v>
      </c>
      <c r="T29" s="537">
        <f>'T2 kanalizacja 2022-2026'!U92</f>
        <v>1150</v>
      </c>
      <c r="U29" s="538"/>
      <c r="V29" s="536">
        <f t="shared" si="14"/>
        <v>4250</v>
      </c>
      <c r="W29" s="528">
        <f t="shared" si="5"/>
        <v>4250</v>
      </c>
      <c r="X29" s="529">
        <f t="shared" si="4"/>
        <v>0</v>
      </c>
    </row>
    <row r="30" spans="1:24" s="712" customFormat="1" ht="36" customHeight="1">
      <c r="A30" s="1343">
        <v>21</v>
      </c>
      <c r="B30" s="1339" t="s">
        <v>187</v>
      </c>
      <c r="C30" s="1261" t="s">
        <v>971</v>
      </c>
      <c r="D30" s="710">
        <f>D20+D22+D24+D26+D28</f>
        <v>64465</v>
      </c>
      <c r="E30" s="709">
        <f t="shared" ref="E30:F30" si="15">E20+E22+E24+E26+E28</f>
        <v>47406</v>
      </c>
      <c r="F30" s="711">
        <f t="shared" si="15"/>
        <v>17059</v>
      </c>
      <c r="G30" s="710">
        <f t="shared" ref="G30:U31" si="16">G20+G22+G24+G26+G28</f>
        <v>28489</v>
      </c>
      <c r="H30" s="709">
        <f t="shared" si="16"/>
        <v>16351</v>
      </c>
      <c r="I30" s="711">
        <f t="shared" si="16"/>
        <v>12138</v>
      </c>
      <c r="J30" s="710">
        <f t="shared" si="16"/>
        <v>22487</v>
      </c>
      <c r="K30" s="709">
        <f t="shared" si="16"/>
        <v>22487</v>
      </c>
      <c r="L30" s="711">
        <f t="shared" si="16"/>
        <v>0</v>
      </c>
      <c r="M30" s="710">
        <f t="shared" si="16"/>
        <v>23205</v>
      </c>
      <c r="N30" s="709">
        <f t="shared" si="16"/>
        <v>14705</v>
      </c>
      <c r="O30" s="711">
        <f t="shared" si="16"/>
        <v>8500</v>
      </c>
      <c r="P30" s="710">
        <f t="shared" si="16"/>
        <v>38175</v>
      </c>
      <c r="Q30" s="709">
        <f t="shared" si="16"/>
        <v>16925</v>
      </c>
      <c r="R30" s="711">
        <f t="shared" si="16"/>
        <v>21250</v>
      </c>
      <c r="S30" s="710">
        <f t="shared" si="16"/>
        <v>0</v>
      </c>
      <c r="T30" s="709">
        <f t="shared" si="16"/>
        <v>0</v>
      </c>
      <c r="U30" s="711">
        <f t="shared" si="16"/>
        <v>0</v>
      </c>
      <c r="V30" s="536">
        <f>G30+J30+M30+P30+S30+D30</f>
        <v>176821</v>
      </c>
      <c r="W30" s="528">
        <f>H30+K30+N30+Q30+T30+E30</f>
        <v>117874</v>
      </c>
      <c r="X30" s="529">
        <f>I30+L30+O30+R30+U30+F30</f>
        <v>58947</v>
      </c>
    </row>
    <row r="31" spans="1:24" s="708" customFormat="1" ht="36" customHeight="1">
      <c r="A31" s="1337">
        <v>22</v>
      </c>
      <c r="B31" s="1340" t="s">
        <v>189</v>
      </c>
      <c r="C31" s="1275" t="s">
        <v>970</v>
      </c>
      <c r="D31" s="1290"/>
      <c r="E31" s="1260"/>
      <c r="F31" s="1291"/>
      <c r="G31" s="1297">
        <f t="shared" si="16"/>
        <v>25681</v>
      </c>
      <c r="H31" s="707">
        <f t="shared" si="16"/>
        <v>23760</v>
      </c>
      <c r="I31" s="713">
        <f t="shared" si="16"/>
        <v>1921</v>
      </c>
      <c r="J31" s="1297">
        <f t="shared" si="16"/>
        <v>40389</v>
      </c>
      <c r="K31" s="707">
        <f t="shared" si="16"/>
        <v>23651</v>
      </c>
      <c r="L31" s="713">
        <f t="shared" si="16"/>
        <v>16738</v>
      </c>
      <c r="M31" s="1297">
        <f t="shared" si="16"/>
        <v>44289</v>
      </c>
      <c r="N31" s="707">
        <f t="shared" si="16"/>
        <v>21438</v>
      </c>
      <c r="O31" s="713">
        <f t="shared" si="16"/>
        <v>22851</v>
      </c>
      <c r="P31" s="1297">
        <f t="shared" si="16"/>
        <v>31589</v>
      </c>
      <c r="Q31" s="707">
        <f t="shared" si="16"/>
        <v>17398</v>
      </c>
      <c r="R31" s="713">
        <f t="shared" si="16"/>
        <v>14191</v>
      </c>
      <c r="S31" s="1297">
        <f t="shared" si="16"/>
        <v>23950</v>
      </c>
      <c r="T31" s="707">
        <f t="shared" si="16"/>
        <v>23950</v>
      </c>
      <c r="U31" s="713">
        <f t="shared" si="16"/>
        <v>0</v>
      </c>
      <c r="V31" s="536">
        <f t="shared" si="14"/>
        <v>165898</v>
      </c>
      <c r="W31" s="528">
        <f t="shared" si="5"/>
        <v>110197</v>
      </c>
      <c r="X31" s="529">
        <f t="shared" si="4"/>
        <v>55701</v>
      </c>
    </row>
    <row r="32" spans="1:24" ht="36.75" customHeight="1" thickBot="1">
      <c r="A32" s="1343">
        <v>23</v>
      </c>
      <c r="B32" s="1344" t="s">
        <v>187</v>
      </c>
      <c r="C32" s="1345" t="s">
        <v>963</v>
      </c>
      <c r="D32" s="1292">
        <f t="shared" ref="D32:F32" si="17">D17+D30</f>
        <v>85635</v>
      </c>
      <c r="E32" s="715">
        <f t="shared" si="17"/>
        <v>63576</v>
      </c>
      <c r="F32" s="1293">
        <f t="shared" si="17"/>
        <v>22059</v>
      </c>
      <c r="G32" s="1292">
        <f t="shared" ref="G32:U32" si="18">G17+G30</f>
        <v>45034</v>
      </c>
      <c r="H32" s="714">
        <f t="shared" si="18"/>
        <v>27896</v>
      </c>
      <c r="I32" s="716">
        <f t="shared" si="18"/>
        <v>17138</v>
      </c>
      <c r="J32" s="1292">
        <f t="shared" si="18"/>
        <v>35232</v>
      </c>
      <c r="K32" s="714">
        <f t="shared" si="18"/>
        <v>35232</v>
      </c>
      <c r="L32" s="716">
        <f t="shared" si="18"/>
        <v>0</v>
      </c>
      <c r="M32" s="1292">
        <f t="shared" si="18"/>
        <v>33140</v>
      </c>
      <c r="N32" s="714">
        <f t="shared" si="18"/>
        <v>24640</v>
      </c>
      <c r="O32" s="716">
        <f t="shared" si="18"/>
        <v>8500</v>
      </c>
      <c r="P32" s="1292">
        <f t="shared" si="18"/>
        <v>43770</v>
      </c>
      <c r="Q32" s="714">
        <f t="shared" si="18"/>
        <v>22520</v>
      </c>
      <c r="R32" s="716">
        <f t="shared" si="18"/>
        <v>21250</v>
      </c>
      <c r="S32" s="1292">
        <f t="shared" si="18"/>
        <v>0</v>
      </c>
      <c r="T32" s="714">
        <f t="shared" si="18"/>
        <v>0</v>
      </c>
      <c r="U32" s="716">
        <f t="shared" si="18"/>
        <v>0</v>
      </c>
      <c r="V32" s="536">
        <f>G32+J32+M32+P32+S32+D32</f>
        <v>242811</v>
      </c>
      <c r="W32" s="528">
        <f>H32+K32+N32+Q32+T32+E32</f>
        <v>173864</v>
      </c>
      <c r="X32" s="529">
        <f>I32+L32+O32+R32+U32+F32</f>
        <v>68947</v>
      </c>
    </row>
    <row r="33" spans="1:24" ht="36" customHeight="1" thickTop="1" thickBot="1">
      <c r="A33" s="1338">
        <v>24</v>
      </c>
      <c r="B33" s="1346" t="s">
        <v>189</v>
      </c>
      <c r="C33" s="1347" t="s">
        <v>964</v>
      </c>
      <c r="D33" s="1294"/>
      <c r="E33" s="1295"/>
      <c r="F33" s="1296"/>
      <c r="G33" s="1298">
        <f t="shared" ref="G33:U33" si="19">G18+G31</f>
        <v>44546</v>
      </c>
      <c r="H33" s="1299">
        <f t="shared" si="19"/>
        <v>37625</v>
      </c>
      <c r="I33" s="1300">
        <f t="shared" si="19"/>
        <v>6921</v>
      </c>
      <c r="J33" s="1298">
        <f t="shared" si="19"/>
        <v>59394</v>
      </c>
      <c r="K33" s="1299">
        <f t="shared" si="19"/>
        <v>35233</v>
      </c>
      <c r="L33" s="1300">
        <f t="shared" si="19"/>
        <v>24161</v>
      </c>
      <c r="M33" s="1298">
        <f t="shared" si="19"/>
        <v>61209</v>
      </c>
      <c r="N33" s="1299">
        <f t="shared" si="19"/>
        <v>33768</v>
      </c>
      <c r="O33" s="1300">
        <f t="shared" si="19"/>
        <v>27441</v>
      </c>
      <c r="P33" s="1298">
        <f t="shared" si="19"/>
        <v>39719</v>
      </c>
      <c r="Q33" s="1299">
        <f t="shared" si="19"/>
        <v>25528</v>
      </c>
      <c r="R33" s="1300">
        <f t="shared" si="19"/>
        <v>14191</v>
      </c>
      <c r="S33" s="1298">
        <f t="shared" si="19"/>
        <v>33235</v>
      </c>
      <c r="T33" s="1299">
        <f t="shared" si="19"/>
        <v>33235</v>
      </c>
      <c r="U33" s="1300">
        <f t="shared" si="19"/>
        <v>0</v>
      </c>
      <c r="V33" s="1282">
        <f t="shared" si="14"/>
        <v>238103</v>
      </c>
      <c r="W33" s="1283">
        <f t="shared" si="5"/>
        <v>165389</v>
      </c>
      <c r="X33" s="1300">
        <f>X18+X31</f>
        <v>72714</v>
      </c>
    </row>
    <row r="34" spans="1:24" ht="13.5" thickTop="1"/>
  </sheetData>
  <mergeCells count="10">
    <mergeCell ref="A6:A7"/>
    <mergeCell ref="B6:B7"/>
    <mergeCell ref="C6:C7"/>
    <mergeCell ref="V6:X6"/>
    <mergeCell ref="G6:I6"/>
    <mergeCell ref="J6:L6"/>
    <mergeCell ref="M6:O6"/>
    <mergeCell ref="P6:R6"/>
    <mergeCell ref="S6:U6"/>
    <mergeCell ref="D6:F6"/>
  </mergeCells>
  <printOptions horizontalCentered="1"/>
  <pageMargins left="0.39370078740157483" right="0.39370078740157483" top="0.39370078740157483" bottom="0.39370078740157483" header="0.39370078740157483" footer="0.39370078740157483"/>
  <pageSetup paperSize="8" scale="75" orientation="landscape" copies="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9" sqref="F19"/>
    </sheetView>
  </sheetViews>
  <sheetFormatPr defaultColWidth="9.140625" defaultRowHeight="15.75"/>
  <cols>
    <col min="1" max="1" width="52.140625" style="584" bestFit="1" customWidth="1"/>
    <col min="2" max="2" width="9.140625" style="584" customWidth="1"/>
    <col min="3" max="16384" width="9.140625" style="584"/>
  </cols>
  <sheetData>
    <row r="1" spans="1:13">
      <c r="A1" s="585" t="s">
        <v>561</v>
      </c>
      <c r="J1" s="586" t="s">
        <v>554</v>
      </c>
    </row>
    <row r="2" spans="1:13" ht="47.25">
      <c r="A2" s="589" t="s">
        <v>31</v>
      </c>
      <c r="B2" s="620" t="s">
        <v>532</v>
      </c>
      <c r="C2" s="610">
        <v>2016</v>
      </c>
      <c r="D2" s="589">
        <v>2017</v>
      </c>
      <c r="E2" s="589">
        <v>2018</v>
      </c>
      <c r="F2" s="589">
        <v>2019</v>
      </c>
      <c r="G2" s="589">
        <v>2020</v>
      </c>
      <c r="H2" s="589">
        <v>2021</v>
      </c>
      <c r="I2" s="589">
        <v>2022</v>
      </c>
      <c r="J2" s="589">
        <v>2023</v>
      </c>
    </row>
    <row r="3" spans="1:13" s="585" customFormat="1">
      <c r="A3" s="590" t="s">
        <v>557</v>
      </c>
      <c r="B3" s="621"/>
      <c r="C3" s="611"/>
      <c r="D3" s="591"/>
      <c r="E3" s="591"/>
      <c r="F3" s="591"/>
      <c r="G3" s="591"/>
      <c r="H3" s="591"/>
      <c r="I3" s="591"/>
      <c r="J3" s="591"/>
    </row>
    <row r="4" spans="1:13">
      <c r="A4" s="592" t="s">
        <v>562</v>
      </c>
      <c r="B4" s="622" t="e">
        <f>C4+D4+E4+F4+G4+H4+I4+J4</f>
        <v>#REF!</v>
      </c>
      <c r="C4" s="612" t="e">
        <f>'T1 wodociag 2022-2026'!#REF!</f>
        <v>#REF!</v>
      </c>
      <c r="D4" s="593" t="e">
        <f>'T1 wodociag 2022-2026'!#REF!</f>
        <v>#REF!</v>
      </c>
      <c r="E4" s="593" t="e">
        <f>'T1 wodociag 2022-2026'!#REF!</f>
        <v>#REF!</v>
      </c>
      <c r="F4" s="593" t="e">
        <f>'T1 wodociag 2022-2026'!#REF!</f>
        <v>#REF!</v>
      </c>
      <c r="G4" s="593" t="e">
        <f>'T1 wodociag 2022-2026'!#REF!</f>
        <v>#REF!</v>
      </c>
      <c r="H4" s="593" t="e">
        <f>'T1 wodociag 2022-2026'!#REF!</f>
        <v>#REF!</v>
      </c>
      <c r="I4" s="593" t="e">
        <f>'T1 wodociag 2022-2026'!#REF!</f>
        <v>#REF!</v>
      </c>
      <c r="J4" s="593" t="e">
        <f>'T1 wodociag 2022-2026'!#REF!</f>
        <v>#REF!</v>
      </c>
    </row>
    <row r="5" spans="1:13" s="587" customFormat="1">
      <c r="A5" s="594" t="s">
        <v>565</v>
      </c>
      <c r="B5" s="623" t="e">
        <f>C5+D5+E5+F5+G5+H5+I5+J5</f>
        <v>#REF!</v>
      </c>
      <c r="C5" s="613" t="e">
        <f>'T1 wodociag 2022-2026'!#REF!</f>
        <v>#REF!</v>
      </c>
      <c r="D5" s="595" t="e">
        <f>'T1 wodociag 2022-2026'!#REF!</f>
        <v>#REF!</v>
      </c>
      <c r="E5" s="595" t="e">
        <f>'T1 wodociag 2022-2026'!#REF!</f>
        <v>#REF!</v>
      </c>
      <c r="F5" s="595" t="e">
        <f>'T1 wodociag 2022-2026'!#REF!</f>
        <v>#REF!</v>
      </c>
      <c r="G5" s="595" t="e">
        <f>'T1 wodociag 2022-2026'!#REF!</f>
        <v>#REF!</v>
      </c>
      <c r="H5" s="595" t="e">
        <f>'T1 wodociag 2022-2026'!#REF!</f>
        <v>#REF!</v>
      </c>
      <c r="I5" s="595" t="e">
        <f>'T1 wodociag 2022-2026'!#REF!</f>
        <v>#REF!</v>
      </c>
      <c r="J5" s="595" t="e">
        <f>'T1 wodociag 2022-2026'!#REF!</f>
        <v>#REF!</v>
      </c>
    </row>
    <row r="6" spans="1:13" s="587" customFormat="1">
      <c r="A6" s="594" t="s">
        <v>566</v>
      </c>
      <c r="B6" s="623" t="e">
        <f>B4-B5</f>
        <v>#REF!</v>
      </c>
      <c r="C6" s="613" t="e">
        <f t="shared" ref="C6:J6" si="0">C4-C5</f>
        <v>#REF!</v>
      </c>
      <c r="D6" s="595" t="e">
        <f t="shared" si="0"/>
        <v>#REF!</v>
      </c>
      <c r="E6" s="595" t="e">
        <f t="shared" si="0"/>
        <v>#REF!</v>
      </c>
      <c r="F6" s="595" t="e">
        <f t="shared" si="0"/>
        <v>#REF!</v>
      </c>
      <c r="G6" s="595" t="e">
        <f t="shared" si="0"/>
        <v>#REF!</v>
      </c>
      <c r="H6" s="595" t="e">
        <f t="shared" si="0"/>
        <v>#REF!</v>
      </c>
      <c r="I6" s="595" t="e">
        <f t="shared" si="0"/>
        <v>#REF!</v>
      </c>
      <c r="J6" s="595" t="e">
        <f t="shared" si="0"/>
        <v>#REF!</v>
      </c>
    </row>
    <row r="7" spans="1:13">
      <c r="A7" s="592" t="s">
        <v>563</v>
      </c>
      <c r="B7" s="622" t="e">
        <f>C7+D7+E7+F7+G7+H7+I7+J7</f>
        <v>#REF!</v>
      </c>
      <c r="C7" s="612" t="e">
        <f>'T2 kanalizacja 2022-2026'!#REF!</f>
        <v>#REF!</v>
      </c>
      <c r="D7" s="593" t="e">
        <f>'T2 kanalizacja 2022-2026'!#REF!</f>
        <v>#REF!</v>
      </c>
      <c r="E7" s="593" t="e">
        <f>'T2 kanalizacja 2022-2026'!#REF!</f>
        <v>#REF!</v>
      </c>
      <c r="F7" s="593" t="e">
        <f>'T2 kanalizacja 2022-2026'!#REF!</f>
        <v>#REF!</v>
      </c>
      <c r="G7" s="593" t="e">
        <f>'T2 kanalizacja 2022-2026'!#REF!</f>
        <v>#REF!</v>
      </c>
      <c r="H7" s="593">
        <f>'T2 kanalizacja 2022-2026'!E95</f>
        <v>35093</v>
      </c>
      <c r="I7" s="593">
        <f>'T2 kanalizacja 2022-2026'!H95</f>
        <v>25681</v>
      </c>
      <c r="J7" s="593">
        <f>'T2 kanalizacja 2022-2026'!K95</f>
        <v>40389</v>
      </c>
    </row>
    <row r="8" spans="1:13" s="587" customFormat="1">
      <c r="A8" s="594" t="s">
        <v>567</v>
      </c>
      <c r="B8" s="623" t="e">
        <f>C8+D8+E8+F8+G8+H8+I8+J8</f>
        <v>#REF!</v>
      </c>
      <c r="C8" s="613" t="e">
        <f>'T2 kanalizacja 2022-2026'!#REF!</f>
        <v>#REF!</v>
      </c>
      <c r="D8" s="595" t="e">
        <f>'T2 kanalizacja 2022-2026'!#REF!</f>
        <v>#REF!</v>
      </c>
      <c r="E8" s="595" t="e">
        <f>'T2 kanalizacja 2022-2026'!#REF!</f>
        <v>#REF!</v>
      </c>
      <c r="F8" s="595" t="e">
        <f>'T2 kanalizacja 2022-2026'!#REF!</f>
        <v>#REF!</v>
      </c>
      <c r="G8" s="595" t="e">
        <f>'T2 kanalizacja 2022-2026'!#REF!</f>
        <v>#REF!</v>
      </c>
      <c r="H8" s="595">
        <f>'T2 kanalizacja 2022-2026'!E18</f>
        <v>21136</v>
      </c>
      <c r="I8" s="595">
        <f>'T2 kanalizacja 2022-2026'!H18</f>
        <v>14191</v>
      </c>
      <c r="J8" s="595">
        <f>'T2 kanalizacja 2022-2026'!K18</f>
        <v>20292</v>
      </c>
    </row>
    <row r="9" spans="1:13" s="587" customFormat="1">
      <c r="A9" s="596" t="s">
        <v>555</v>
      </c>
      <c r="B9" s="623" t="e">
        <f>C9+D9+E9+F9+G9+H9+I9+J9</f>
        <v>#REF!</v>
      </c>
      <c r="C9" s="613" t="e">
        <f>'T2 kanalizacja 2022-2026'!#REF!</f>
        <v>#REF!</v>
      </c>
      <c r="D9" s="595" t="e">
        <f>'T2 kanalizacja 2022-2026'!#REF!</f>
        <v>#REF!</v>
      </c>
      <c r="E9" s="595" t="e">
        <f>'T2 kanalizacja 2022-2026'!#REF!</f>
        <v>#REF!</v>
      </c>
      <c r="F9" s="595" t="e">
        <f>'T2 kanalizacja 2022-2026'!#REF!</f>
        <v>#REF!</v>
      </c>
      <c r="G9" s="595" t="e">
        <f>'T2 kanalizacja 2022-2026'!#REF!</f>
        <v>#REF!</v>
      </c>
      <c r="H9" s="595">
        <f>'T2 kanalizacja 2022-2026'!E12</f>
        <v>15481</v>
      </c>
      <c r="I9" s="595">
        <f>'T2 kanalizacja 2022-2026'!H12</f>
        <v>11172</v>
      </c>
      <c r="J9" s="595">
        <f>'T2 kanalizacja 2022-2026'!K12</f>
        <v>34</v>
      </c>
    </row>
    <row r="10" spans="1:13" s="587" customFormat="1">
      <c r="A10" s="594" t="s">
        <v>566</v>
      </c>
      <c r="B10" s="623" t="e">
        <f>B7-B8</f>
        <v>#REF!</v>
      </c>
      <c r="C10" s="613" t="e">
        <f t="shared" ref="C10:J10" si="1">C7-C8</f>
        <v>#REF!</v>
      </c>
      <c r="D10" s="595" t="e">
        <f t="shared" si="1"/>
        <v>#REF!</v>
      </c>
      <c r="E10" s="595" t="e">
        <f t="shared" si="1"/>
        <v>#REF!</v>
      </c>
      <c r="F10" s="595" t="e">
        <f t="shared" si="1"/>
        <v>#REF!</v>
      </c>
      <c r="G10" s="595" t="e">
        <f t="shared" si="1"/>
        <v>#REF!</v>
      </c>
      <c r="H10" s="595">
        <f t="shared" si="1"/>
        <v>13957</v>
      </c>
      <c r="I10" s="595">
        <f t="shared" si="1"/>
        <v>11490</v>
      </c>
      <c r="J10" s="595">
        <f t="shared" si="1"/>
        <v>20097</v>
      </c>
    </row>
    <row r="11" spans="1:13">
      <c r="A11" s="592" t="s">
        <v>564</v>
      </c>
      <c r="B11" s="622" t="e">
        <f>C11+D11+E11+F11+G11+H11+I11+J11</f>
        <v>#REF!</v>
      </c>
      <c r="C11" s="612" t="e">
        <f>'T3 WPI 2022-2026'!#REF!</f>
        <v>#REF!</v>
      </c>
      <c r="D11" s="593" t="e">
        <f>'T3 WPI 2022-2026'!#REF!</f>
        <v>#REF!</v>
      </c>
      <c r="E11" s="593" t="e">
        <f>'T3 WPI 2022-2026'!#REF!</f>
        <v>#REF!</v>
      </c>
      <c r="F11" s="593" t="e">
        <f>'T3 WPI 2022-2026'!#REF!</f>
        <v>#REF!</v>
      </c>
      <c r="G11" s="593">
        <f>'T3 WPI 2022-2026'!E34</f>
        <v>4245</v>
      </c>
      <c r="H11" s="593">
        <f>'T3 WPI 2022-2026'!H34</f>
        <v>8955</v>
      </c>
      <c r="I11" s="593">
        <f>'T3 WPI 2022-2026'!K34</f>
        <v>7410</v>
      </c>
      <c r="J11" s="593">
        <f>'T3 WPI 2022-2026'!N34</f>
        <v>3600</v>
      </c>
    </row>
    <row r="12" spans="1:13" s="587" customFormat="1">
      <c r="A12" s="594" t="s">
        <v>568</v>
      </c>
      <c r="B12" s="623" t="e">
        <f>C12+D12+E12+F12+G12+H12+I12+J12</f>
        <v>#REF!</v>
      </c>
      <c r="C12" s="613" t="e">
        <f>'T3 WPI 2022-2026'!#REF!</f>
        <v>#REF!</v>
      </c>
      <c r="D12" s="595" t="e">
        <f>'T3 WPI 2022-2026'!#REF!</f>
        <v>#REF!</v>
      </c>
      <c r="E12" s="595" t="e">
        <f>'T3 WPI 2022-2026'!#REF!</f>
        <v>#REF!</v>
      </c>
      <c r="F12" s="595" t="e">
        <f>'T3 WPI 2022-2026'!#REF!</f>
        <v>#REF!</v>
      </c>
      <c r="G12" s="595">
        <f>'T3 WPI 2022-2026'!E13</f>
        <v>1650</v>
      </c>
      <c r="H12" s="595">
        <f>'T3 WPI 2022-2026'!H13</f>
        <v>2000</v>
      </c>
      <c r="I12" s="595">
        <f>'T3 WPI 2022-2026'!K13</f>
        <v>5840</v>
      </c>
      <c r="J12" s="595">
        <f>'T3 WPI 2022-2026'!N13</f>
        <v>3600</v>
      </c>
    </row>
    <row r="13" spans="1:13" s="587" customFormat="1">
      <c r="A13" s="606" t="s">
        <v>569</v>
      </c>
      <c r="B13" s="624" t="e">
        <f>B11-B12</f>
        <v>#REF!</v>
      </c>
      <c r="C13" s="614" t="e">
        <f t="shared" ref="C13:J13" si="2">C11-C12</f>
        <v>#REF!</v>
      </c>
      <c r="D13" s="607" t="e">
        <f t="shared" si="2"/>
        <v>#REF!</v>
      </c>
      <c r="E13" s="607" t="e">
        <f t="shared" si="2"/>
        <v>#REF!</v>
      </c>
      <c r="F13" s="607" t="e">
        <f t="shared" si="2"/>
        <v>#REF!</v>
      </c>
      <c r="G13" s="607">
        <f t="shared" si="2"/>
        <v>2595</v>
      </c>
      <c r="H13" s="607">
        <f t="shared" si="2"/>
        <v>6955</v>
      </c>
      <c r="I13" s="607">
        <f t="shared" si="2"/>
        <v>1570</v>
      </c>
      <c r="J13" s="607">
        <f t="shared" si="2"/>
        <v>0</v>
      </c>
    </row>
    <row r="14" spans="1:13">
      <c r="A14" s="608" t="s">
        <v>570</v>
      </c>
      <c r="B14" s="625" t="e">
        <f t="shared" ref="B14:B23" si="3">C14+D14+E14+F14+G14+H14+I14+J14</f>
        <v>#REF!</v>
      </c>
      <c r="C14" s="615" t="e">
        <f>C4+C7+C11</f>
        <v>#REF!</v>
      </c>
      <c r="D14" s="609" t="e">
        <f t="shared" ref="D14:J14" si="4">D4+D7+D11</f>
        <v>#REF!</v>
      </c>
      <c r="E14" s="609" t="e">
        <f t="shared" si="4"/>
        <v>#REF!</v>
      </c>
      <c r="F14" s="609" t="e">
        <f t="shared" si="4"/>
        <v>#REF!</v>
      </c>
      <c r="G14" s="609" t="e">
        <f t="shared" si="4"/>
        <v>#REF!</v>
      </c>
      <c r="H14" s="609" t="e">
        <f t="shared" si="4"/>
        <v>#REF!</v>
      </c>
      <c r="I14" s="609" t="e">
        <f t="shared" si="4"/>
        <v>#REF!</v>
      </c>
      <c r="J14" s="609" t="e">
        <f t="shared" si="4"/>
        <v>#REF!</v>
      </c>
    </row>
    <row r="15" spans="1:13" s="585" customFormat="1">
      <c r="A15" s="601" t="s">
        <v>575</v>
      </c>
      <c r="B15" s="626" t="e">
        <f t="shared" si="3"/>
        <v>#REF!</v>
      </c>
      <c r="C15" s="616" t="e">
        <f>C16+C20+C21</f>
        <v>#REF!</v>
      </c>
      <c r="D15" s="602">
        <f t="shared" ref="D15:J15" si="5">D16+D20+D21</f>
        <v>40094</v>
      </c>
      <c r="E15" s="602">
        <f t="shared" si="5"/>
        <v>56695</v>
      </c>
      <c r="F15" s="602">
        <f t="shared" si="5"/>
        <v>59840</v>
      </c>
      <c r="G15" s="602">
        <f t="shared" si="5"/>
        <v>74300</v>
      </c>
      <c r="H15" s="602">
        <f t="shared" si="5"/>
        <v>58475</v>
      </c>
      <c r="I15" s="602">
        <f t="shared" si="5"/>
        <v>51010</v>
      </c>
      <c r="J15" s="602">
        <f t="shared" si="5"/>
        <v>73052</v>
      </c>
      <c r="M15" s="588" t="e">
        <f>B16+B20+B21</f>
        <v>#REF!</v>
      </c>
    </row>
    <row r="16" spans="1:13">
      <c r="A16" s="592" t="s">
        <v>571</v>
      </c>
      <c r="B16" s="622" t="e">
        <f t="shared" si="3"/>
        <v>#REF!</v>
      </c>
      <c r="C16" s="612" t="e">
        <f>C17+C18+C19</f>
        <v>#REF!</v>
      </c>
      <c r="D16" s="593">
        <f t="shared" ref="D16:J16" si="6">D17+D18+D19</f>
        <v>29084</v>
      </c>
      <c r="E16" s="593">
        <f t="shared" si="6"/>
        <v>26910</v>
      </c>
      <c r="F16" s="593">
        <f t="shared" si="6"/>
        <v>32116</v>
      </c>
      <c r="G16" s="593">
        <f t="shared" si="6"/>
        <v>27537</v>
      </c>
      <c r="H16" s="593">
        <f t="shared" si="6"/>
        <v>37690</v>
      </c>
      <c r="I16" s="593">
        <f t="shared" si="6"/>
        <v>30967</v>
      </c>
      <c r="J16" s="593">
        <f t="shared" si="6"/>
        <v>33526</v>
      </c>
    </row>
    <row r="17" spans="1:10" s="587" customFormat="1">
      <c r="A17" s="594" t="s">
        <v>576</v>
      </c>
      <c r="B17" s="623" t="e">
        <f t="shared" si="3"/>
        <v>#REF!</v>
      </c>
      <c r="C17" s="613" t="e">
        <f>'Załącznik B przepływy'!#REF!</f>
        <v>#REF!</v>
      </c>
      <c r="D17" s="595">
        <f>'Załącznik B przepływy'!E7</f>
        <v>1405</v>
      </c>
      <c r="E17" s="595">
        <f>'Załącznik B przepływy'!F7</f>
        <v>2321</v>
      </c>
      <c r="F17" s="595">
        <f>'Załącznik B przepływy'!G7</f>
        <v>2963</v>
      </c>
      <c r="G17" s="595">
        <f>'Załącznik B przepływy'!H7</f>
        <v>2150</v>
      </c>
      <c r="H17" s="595">
        <f>'Załącznik B przepływy'!I7</f>
        <v>2706</v>
      </c>
      <c r="I17" s="595">
        <f>'Załącznik B przepływy'!J7</f>
        <v>550</v>
      </c>
      <c r="J17" s="595">
        <f>'Załącznik B przepływy'!K7</f>
        <v>1200</v>
      </c>
    </row>
    <row r="18" spans="1:10" s="587" customFormat="1">
      <c r="A18" s="594" t="s">
        <v>577</v>
      </c>
      <c r="B18" s="623" t="e">
        <f t="shared" si="3"/>
        <v>#REF!</v>
      </c>
      <c r="C18" s="613" t="e">
        <f>'Załącznik B przepływy'!#REF!</f>
        <v>#REF!</v>
      </c>
      <c r="D18" s="595">
        <f>'Załącznik B przepływy'!E9</f>
        <v>29330</v>
      </c>
      <c r="E18" s="595">
        <f>'Załącznik B przepływy'!F9</f>
        <v>29650</v>
      </c>
      <c r="F18" s="595">
        <f>'Załącznik B przepływy'!G9</f>
        <v>30354</v>
      </c>
      <c r="G18" s="595">
        <f>'Załącznik B przepływy'!H9</f>
        <v>31473</v>
      </c>
      <c r="H18" s="595">
        <f>'Załącznik B przepływy'!I9</f>
        <v>33433</v>
      </c>
      <c r="I18" s="595">
        <f>'Załącznik B przepływy'!J9</f>
        <v>34650</v>
      </c>
      <c r="J18" s="595">
        <f>'Załącznik B przepływy'!K9</f>
        <v>35074</v>
      </c>
    </row>
    <row r="19" spans="1:10" s="587" customFormat="1">
      <c r="A19" s="594" t="s">
        <v>578</v>
      </c>
      <c r="B19" s="623" t="e">
        <f t="shared" si="3"/>
        <v>#REF!</v>
      </c>
      <c r="C19" s="613" t="e">
        <f>'Załącznik B przepływy'!#REF!-'Załącznik B przepływy'!#REF!+'Załącznik B przepływy'!#REF!-pożyczki.dotacje!#REF!</f>
        <v>#REF!</v>
      </c>
      <c r="D19" s="595">
        <f>'Załącznik B przepływy'!E8-'Załącznik B przepływy'!E9+'Załącznik B przepływy'!E22-pożyczki.dotacje!C55</f>
        <v>-1651</v>
      </c>
      <c r="E19" s="595">
        <f>'Załącznik B przepływy'!F8-'Załącznik B przepływy'!F9+'Załącznik B przepływy'!F22-pożyczki.dotacje!D55</f>
        <v>-5061</v>
      </c>
      <c r="F19" s="595">
        <f>'Załącznik B przepływy'!G8-'Załącznik B przepływy'!G9+'Załącznik B przepływy'!G22-pożyczki.dotacje!E55</f>
        <v>-1201</v>
      </c>
      <c r="G19" s="595">
        <f>'Załącznik B przepływy'!H8-'Załącznik B przepływy'!H9+'Załącznik B przepływy'!H22-pożyczki.dotacje!F55</f>
        <v>-6086</v>
      </c>
      <c r="H19" s="595">
        <f>'Załącznik B przepływy'!I8-'Załącznik B przepływy'!I9+'Załącznik B przepływy'!I22-pożyczki.dotacje!G55</f>
        <v>1551</v>
      </c>
      <c r="I19" s="595">
        <f>'Załącznik B przepływy'!J8-'Załącznik B przepływy'!J9+'Załącznik B przepływy'!J22-pożyczki.dotacje!H55</f>
        <v>-4233</v>
      </c>
      <c r="J19" s="595">
        <f>'Załącznik B przepływy'!K8-'Załącznik B przepływy'!K9+'Załącznik B przepływy'!K22-pożyczki.dotacje!I55</f>
        <v>-2748</v>
      </c>
    </row>
    <row r="20" spans="1:10">
      <c r="A20" s="592" t="s">
        <v>572</v>
      </c>
      <c r="B20" s="622" t="e">
        <f t="shared" si="3"/>
        <v>#REF!</v>
      </c>
      <c r="C20" s="612" t="e">
        <f>'Załącznik B przepływy'!#REF!</f>
        <v>#REF!</v>
      </c>
      <c r="D20" s="593">
        <f>'Załącznik B przepływy'!E40</f>
        <v>4896</v>
      </c>
      <c r="E20" s="593">
        <f>'Załącznik B przepływy'!F40</f>
        <v>15928</v>
      </c>
      <c r="F20" s="593">
        <f>'Załącznik B przepływy'!G40</f>
        <v>9990</v>
      </c>
      <c r="G20" s="593">
        <f>'Załącznik B przepływy'!H40</f>
        <v>15467</v>
      </c>
      <c r="H20" s="593">
        <f>'Załącznik B przepływy'!I40</f>
        <v>16086</v>
      </c>
      <c r="I20" s="593">
        <f>'Załącznik B przepływy'!J40</f>
        <v>11363</v>
      </c>
      <c r="J20" s="593">
        <f>'Załącznik B przepływy'!K40</f>
        <v>12100</v>
      </c>
    </row>
    <row r="21" spans="1:10">
      <c r="A21" s="592" t="s">
        <v>573</v>
      </c>
      <c r="B21" s="622" t="e">
        <f t="shared" si="3"/>
        <v>#REF!</v>
      </c>
      <c r="C21" s="612" t="e">
        <f>'Załącznik B przepływy'!#REF!</f>
        <v>#REF!</v>
      </c>
      <c r="D21" s="593">
        <f>'Załącznik B przepływy'!E42</f>
        <v>6114</v>
      </c>
      <c r="E21" s="593">
        <f>'Załącznik B przepływy'!F42</f>
        <v>13857</v>
      </c>
      <c r="F21" s="593">
        <f>'Załącznik B przepływy'!G42</f>
        <v>17734</v>
      </c>
      <c r="G21" s="593">
        <f>'Załącznik B przepływy'!H42</f>
        <v>31296</v>
      </c>
      <c r="H21" s="593">
        <f>'Załącznik B przepływy'!I42</f>
        <v>4699</v>
      </c>
      <c r="I21" s="593">
        <f>'Załącznik B przepływy'!J42</f>
        <v>8680</v>
      </c>
      <c r="J21" s="593">
        <f>'Załącznik B przepływy'!K42</f>
        <v>27426</v>
      </c>
    </row>
    <row r="22" spans="1:10" s="585" customFormat="1">
      <c r="A22" s="603" t="s">
        <v>556</v>
      </c>
      <c r="B22" s="627" t="e">
        <f t="shared" si="3"/>
        <v>#REF!</v>
      </c>
      <c r="C22" s="617" t="e">
        <f>C14-C15</f>
        <v>#REF!</v>
      </c>
      <c r="D22" s="604" t="e">
        <f t="shared" ref="D22:J22" si="7">D14-D15</f>
        <v>#REF!</v>
      </c>
      <c r="E22" s="604" t="e">
        <f t="shared" si="7"/>
        <v>#REF!</v>
      </c>
      <c r="F22" s="604" t="e">
        <f t="shared" si="7"/>
        <v>#REF!</v>
      </c>
      <c r="G22" s="604" t="e">
        <f t="shared" si="7"/>
        <v>#REF!</v>
      </c>
      <c r="H22" s="604" t="e">
        <f t="shared" si="7"/>
        <v>#REF!</v>
      </c>
      <c r="I22" s="604" t="e">
        <f t="shared" si="7"/>
        <v>#REF!</v>
      </c>
      <c r="J22" s="604" t="e">
        <f t="shared" si="7"/>
        <v>#REF!</v>
      </c>
    </row>
    <row r="23" spans="1:10">
      <c r="A23" s="605" t="s">
        <v>574</v>
      </c>
      <c r="B23" s="626" t="e">
        <f t="shared" si="3"/>
        <v>#REF!</v>
      </c>
      <c r="C23" s="616" t="e">
        <f>'Załącznik B przepływy'!#REF!+'Załącznik B przepływy'!#REF!</f>
        <v>#REF!</v>
      </c>
      <c r="D23" s="602">
        <f>'Załącznik B przepływy'!E47+'Załącznik B przepływy'!E51</f>
        <v>14710</v>
      </c>
      <c r="E23" s="602">
        <f>'Załącznik B przepływy'!F47+'Załącznik B przepływy'!F51</f>
        <v>14541</v>
      </c>
      <c r="F23" s="602">
        <f>'Załącznik B przepływy'!G47+'Załącznik B przepływy'!G51</f>
        <v>12394</v>
      </c>
      <c r="G23" s="602">
        <f>'Załącznik B przepływy'!H47+'Załącznik B przepływy'!H51</f>
        <v>6644</v>
      </c>
      <c r="H23" s="602">
        <f>'Załącznik B przepływy'!I47+'Załącznik B przepływy'!I51</f>
        <v>3008</v>
      </c>
      <c r="I23" s="602">
        <f>'Załącznik B przepływy'!J47+'Załącznik B przepływy'!J51</f>
        <v>7064</v>
      </c>
      <c r="J23" s="602">
        <f>'Załącznik B przepływy'!K47+'Załącznik B przepływy'!K51</f>
        <v>8599</v>
      </c>
    </row>
    <row r="24" spans="1:10">
      <c r="A24" s="599"/>
      <c r="B24" s="628"/>
      <c r="C24" s="618"/>
      <c r="D24" s="600"/>
      <c r="E24" s="600"/>
      <c r="F24" s="600"/>
      <c r="G24" s="600"/>
      <c r="H24" s="600"/>
      <c r="I24" s="600"/>
      <c r="J24" s="600"/>
    </row>
    <row r="25" spans="1:10">
      <c r="A25" s="605" t="s">
        <v>560</v>
      </c>
      <c r="B25" s="626"/>
      <c r="C25" s="616" t="e">
        <f>'Załącznik B przepływy'!#REF!</f>
        <v>#REF!</v>
      </c>
      <c r="D25" s="602" t="e">
        <f>C27</f>
        <v>#REF!</v>
      </c>
      <c r="E25" s="602" t="e">
        <f t="shared" ref="E25:J25" si="8">D27</f>
        <v>#REF!</v>
      </c>
      <c r="F25" s="602" t="e">
        <f t="shared" si="8"/>
        <v>#REF!</v>
      </c>
      <c r="G25" s="602" t="e">
        <f t="shared" si="8"/>
        <v>#REF!</v>
      </c>
      <c r="H25" s="602" t="e">
        <f t="shared" si="8"/>
        <v>#REF!</v>
      </c>
      <c r="I25" s="602" t="e">
        <f t="shared" si="8"/>
        <v>#REF!</v>
      </c>
      <c r="J25" s="602" t="e">
        <f t="shared" si="8"/>
        <v>#REF!</v>
      </c>
    </row>
    <row r="26" spans="1:10">
      <c r="A26" s="592" t="s">
        <v>559</v>
      </c>
      <c r="B26" s="622" t="e">
        <f>C26+D26+E26+F26+G26+H26+I26+J26</f>
        <v>#REF!</v>
      </c>
      <c r="C26" s="612" t="e">
        <f>C15-C14-C23</f>
        <v>#REF!</v>
      </c>
      <c r="D26" s="593" t="e">
        <f t="shared" ref="D26:J26" si="9">D15-D14-D23</f>
        <v>#REF!</v>
      </c>
      <c r="E26" s="593" t="e">
        <f t="shared" si="9"/>
        <v>#REF!</v>
      </c>
      <c r="F26" s="593" t="e">
        <f t="shared" si="9"/>
        <v>#REF!</v>
      </c>
      <c r="G26" s="593" t="e">
        <f t="shared" si="9"/>
        <v>#REF!</v>
      </c>
      <c r="H26" s="593" t="e">
        <f t="shared" si="9"/>
        <v>#REF!</v>
      </c>
      <c r="I26" s="593" t="e">
        <f t="shared" si="9"/>
        <v>#REF!</v>
      </c>
      <c r="J26" s="593" t="e">
        <f t="shared" si="9"/>
        <v>#REF!</v>
      </c>
    </row>
    <row r="27" spans="1:10">
      <c r="A27" s="597" t="s">
        <v>558</v>
      </c>
      <c r="B27" s="629"/>
      <c r="C27" s="619" t="e">
        <f>C25+C26</f>
        <v>#REF!</v>
      </c>
      <c r="D27" s="598" t="e">
        <f>D25+D26</f>
        <v>#REF!</v>
      </c>
      <c r="E27" s="598" t="e">
        <f t="shared" ref="E27:J27" si="10">E25+E26</f>
        <v>#REF!</v>
      </c>
      <c r="F27" s="598" t="e">
        <f t="shared" si="10"/>
        <v>#REF!</v>
      </c>
      <c r="G27" s="598" t="e">
        <f t="shared" si="10"/>
        <v>#REF!</v>
      </c>
      <c r="H27" s="598" t="e">
        <f t="shared" si="10"/>
        <v>#REF!</v>
      </c>
      <c r="I27" s="598" t="e">
        <f t="shared" si="10"/>
        <v>#REF!</v>
      </c>
      <c r="J27" s="598" t="e">
        <f t="shared" si="10"/>
        <v>#REF!</v>
      </c>
    </row>
  </sheetData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pane xSplit="2" ySplit="2" topLeftCell="C3" activePane="bottomRight" state="frozen"/>
      <selection activeCell="C10" sqref="C10:C11"/>
      <selection pane="topRight" activeCell="C10" sqref="C10:C11"/>
      <selection pane="bottomLeft" activeCell="C10" sqref="C10:C11"/>
      <selection pane="bottomRight" activeCell="C10" sqref="C10:C11"/>
    </sheetView>
  </sheetViews>
  <sheetFormatPr defaultColWidth="9.140625" defaultRowHeight="15.75"/>
  <cols>
    <col min="1" max="1" width="52.140625" style="584" bestFit="1" customWidth="1"/>
    <col min="2" max="2" width="9.140625" style="584" customWidth="1"/>
    <col min="3" max="16384" width="9.140625" style="584"/>
  </cols>
  <sheetData>
    <row r="1" spans="1:13" ht="30" customHeight="1">
      <c r="A1" s="585" t="s">
        <v>580</v>
      </c>
      <c r="J1" s="586" t="s">
        <v>554</v>
      </c>
    </row>
    <row r="2" spans="1:13" ht="47.25">
      <c r="A2" s="589" t="s">
        <v>31</v>
      </c>
      <c r="B2" s="620" t="s">
        <v>532</v>
      </c>
      <c r="C2" s="610">
        <v>2016</v>
      </c>
      <c r="D2" s="589">
        <v>2017</v>
      </c>
      <c r="E2" s="589">
        <v>2018</v>
      </c>
      <c r="F2" s="589">
        <v>2019</v>
      </c>
      <c r="G2" s="589">
        <v>2020</v>
      </c>
      <c r="H2" s="589">
        <v>2021</v>
      </c>
      <c r="I2" s="589">
        <v>2022</v>
      </c>
      <c r="J2" s="589">
        <v>2023</v>
      </c>
    </row>
    <row r="3" spans="1:13" s="585" customFormat="1">
      <c r="A3" s="590" t="s">
        <v>557</v>
      </c>
      <c r="B3" s="621"/>
      <c r="C3" s="611"/>
      <c r="D3" s="591"/>
      <c r="E3" s="591"/>
      <c r="F3" s="591"/>
      <c r="G3" s="591"/>
      <c r="H3" s="591"/>
      <c r="I3" s="591"/>
      <c r="J3" s="591"/>
    </row>
    <row r="4" spans="1:13">
      <c r="A4" s="592" t="s">
        <v>562</v>
      </c>
      <c r="B4" s="622" t="e">
        <f>C4+D4+E4+F4+G4+H4+I4+J4</f>
        <v>#REF!</v>
      </c>
      <c r="C4" s="612" t="e">
        <f>'T1 wodociag 2022-2026'!#REF!</f>
        <v>#REF!</v>
      </c>
      <c r="D4" s="593" t="e">
        <f>'T1 wodociag 2022-2026'!#REF!</f>
        <v>#REF!</v>
      </c>
      <c r="E4" s="593" t="e">
        <f>'T1 wodociag 2022-2026'!#REF!</f>
        <v>#REF!</v>
      </c>
      <c r="F4" s="593" t="e">
        <f>'T1 wodociag 2022-2026'!#REF!</f>
        <v>#REF!</v>
      </c>
      <c r="G4" s="593" t="e">
        <f>'T1 wodociag 2022-2026'!#REF!</f>
        <v>#REF!</v>
      </c>
      <c r="H4" s="593" t="e">
        <f>'T1 wodociag 2022-2026'!#REF!</f>
        <v>#REF!</v>
      </c>
      <c r="I4" s="593" t="e">
        <f>'T1 wodociag 2022-2026'!#REF!</f>
        <v>#REF!</v>
      </c>
      <c r="J4" s="593" t="e">
        <f>'T1 wodociag 2022-2026'!#REF!</f>
        <v>#REF!</v>
      </c>
    </row>
    <row r="5" spans="1:13" s="587" customFormat="1">
      <c r="A5" s="594" t="s">
        <v>565</v>
      </c>
      <c r="B5" s="623" t="e">
        <f>C5+D5+E5+F5+G5+H5+I5+J5</f>
        <v>#REF!</v>
      </c>
      <c r="C5" s="613" t="e">
        <f>'T1 wodociag 2022-2026'!#REF!</f>
        <v>#REF!</v>
      </c>
      <c r="D5" s="595" t="e">
        <f>'T1 wodociag 2022-2026'!#REF!</f>
        <v>#REF!</v>
      </c>
      <c r="E5" s="595" t="e">
        <f>'T1 wodociag 2022-2026'!#REF!</f>
        <v>#REF!</v>
      </c>
      <c r="F5" s="595" t="e">
        <f>'T1 wodociag 2022-2026'!#REF!</f>
        <v>#REF!</v>
      </c>
      <c r="G5" s="595" t="e">
        <f>'T1 wodociag 2022-2026'!#REF!</f>
        <v>#REF!</v>
      </c>
      <c r="H5" s="595" t="e">
        <f>'T1 wodociag 2022-2026'!#REF!</f>
        <v>#REF!</v>
      </c>
      <c r="I5" s="595" t="e">
        <f>'T1 wodociag 2022-2026'!#REF!</f>
        <v>#REF!</v>
      </c>
      <c r="J5" s="595" t="e">
        <f>'T1 wodociag 2022-2026'!#REF!</f>
        <v>#REF!</v>
      </c>
    </row>
    <row r="6" spans="1:13" s="587" customFormat="1">
      <c r="A6" s="606" t="s">
        <v>566</v>
      </c>
      <c r="B6" s="624" t="e">
        <f>B4-B5</f>
        <v>#REF!</v>
      </c>
      <c r="C6" s="614" t="e">
        <f t="shared" ref="C6:J6" si="0">C4-C5</f>
        <v>#REF!</v>
      </c>
      <c r="D6" s="607" t="e">
        <f t="shared" si="0"/>
        <v>#REF!</v>
      </c>
      <c r="E6" s="607" t="e">
        <f t="shared" si="0"/>
        <v>#REF!</v>
      </c>
      <c r="F6" s="607" t="e">
        <f t="shared" si="0"/>
        <v>#REF!</v>
      </c>
      <c r="G6" s="607" t="e">
        <f t="shared" si="0"/>
        <v>#REF!</v>
      </c>
      <c r="H6" s="607" t="e">
        <f t="shared" si="0"/>
        <v>#REF!</v>
      </c>
      <c r="I6" s="607" t="e">
        <f t="shared" si="0"/>
        <v>#REF!</v>
      </c>
      <c r="J6" s="607" t="e">
        <f t="shared" si="0"/>
        <v>#REF!</v>
      </c>
    </row>
    <row r="7" spans="1:13" s="635" customFormat="1">
      <c r="A7" s="605" t="s">
        <v>581</v>
      </c>
      <c r="B7" s="626" t="e">
        <f>C7+D7+E7+F7+G7+H7+I7+J7</f>
        <v>#REF!</v>
      </c>
      <c r="C7" s="616" t="e">
        <f>'T2 kanalizacja 2022-2026'!#REF!</f>
        <v>#REF!</v>
      </c>
      <c r="D7" s="602" t="e">
        <f>'T2 kanalizacja 2022-2026'!#REF!</f>
        <v>#REF!</v>
      </c>
      <c r="E7" s="602" t="e">
        <f>'T2 kanalizacja 2022-2026'!#REF!</f>
        <v>#REF!</v>
      </c>
      <c r="F7" s="602" t="e">
        <f>'T2 kanalizacja 2022-2026'!#REF!</f>
        <v>#REF!</v>
      </c>
      <c r="G7" s="602" t="e">
        <f>'T2 kanalizacja 2022-2026'!#REF!</f>
        <v>#REF!</v>
      </c>
      <c r="H7" s="602">
        <f>'T2 kanalizacja 2022-2026'!E95</f>
        <v>35093</v>
      </c>
      <c r="I7" s="602">
        <f>'T2 kanalizacja 2022-2026'!H95</f>
        <v>25681</v>
      </c>
      <c r="J7" s="602">
        <f>'T2 kanalizacja 2022-2026'!K95</f>
        <v>40389</v>
      </c>
    </row>
    <row r="8" spans="1:13" s="587" customFormat="1">
      <c r="A8" s="594" t="s">
        <v>567</v>
      </c>
      <c r="B8" s="623" t="e">
        <f>C8+D8+E8+F8+G8+H8+I8+J8</f>
        <v>#REF!</v>
      </c>
      <c r="C8" s="613" t="e">
        <f>'T2 kanalizacja 2022-2026'!#REF!</f>
        <v>#REF!</v>
      </c>
      <c r="D8" s="595" t="e">
        <f>'T2 kanalizacja 2022-2026'!#REF!</f>
        <v>#REF!</v>
      </c>
      <c r="E8" s="595" t="e">
        <f>'T2 kanalizacja 2022-2026'!#REF!</f>
        <v>#REF!</v>
      </c>
      <c r="F8" s="595" t="e">
        <f>'T2 kanalizacja 2022-2026'!#REF!</f>
        <v>#REF!</v>
      </c>
      <c r="G8" s="595" t="e">
        <f>'T2 kanalizacja 2022-2026'!#REF!</f>
        <v>#REF!</v>
      </c>
      <c r="H8" s="595">
        <f>'T2 kanalizacja 2022-2026'!E18</f>
        <v>21136</v>
      </c>
      <c r="I8" s="595">
        <f>'T2 kanalizacja 2022-2026'!H18</f>
        <v>14191</v>
      </c>
      <c r="J8" s="595">
        <f>'T2 kanalizacja 2022-2026'!K18</f>
        <v>20292</v>
      </c>
    </row>
    <row r="9" spans="1:13" s="634" customFormat="1">
      <c r="A9" s="630" t="s">
        <v>555</v>
      </c>
      <c r="B9" s="631" t="e">
        <f>C9+D9+E9+F9+G9+H9+I9+J9</f>
        <v>#REF!</v>
      </c>
      <c r="C9" s="632" t="e">
        <f>'T2 kanalizacja 2022-2026'!#REF!</f>
        <v>#REF!</v>
      </c>
      <c r="D9" s="633" t="e">
        <f>'T2 kanalizacja 2022-2026'!#REF!</f>
        <v>#REF!</v>
      </c>
      <c r="E9" s="633" t="e">
        <f>'T2 kanalizacja 2022-2026'!#REF!</f>
        <v>#REF!</v>
      </c>
      <c r="F9" s="633" t="e">
        <f>'T2 kanalizacja 2022-2026'!#REF!</f>
        <v>#REF!</v>
      </c>
      <c r="G9" s="633" t="e">
        <f>'T2 kanalizacja 2022-2026'!#REF!</f>
        <v>#REF!</v>
      </c>
      <c r="H9" s="633">
        <f>'T2 kanalizacja 2022-2026'!E12</f>
        <v>15481</v>
      </c>
      <c r="I9" s="633">
        <f>'T2 kanalizacja 2022-2026'!H12</f>
        <v>11172</v>
      </c>
      <c r="J9" s="633">
        <f>'T2 kanalizacja 2022-2026'!K12</f>
        <v>34</v>
      </c>
    </row>
    <row r="10" spans="1:13" s="587" customFormat="1">
      <c r="A10" s="606" t="s">
        <v>566</v>
      </c>
      <c r="B10" s="624" t="e">
        <f>B7-B8</f>
        <v>#REF!</v>
      </c>
      <c r="C10" s="614" t="e">
        <f t="shared" ref="C10:J10" si="1">C7-C8</f>
        <v>#REF!</v>
      </c>
      <c r="D10" s="607" t="e">
        <f t="shared" si="1"/>
        <v>#REF!</v>
      </c>
      <c r="E10" s="607" t="e">
        <f t="shared" si="1"/>
        <v>#REF!</v>
      </c>
      <c r="F10" s="607" t="e">
        <f t="shared" si="1"/>
        <v>#REF!</v>
      </c>
      <c r="G10" s="607" t="e">
        <f t="shared" si="1"/>
        <v>#REF!</v>
      </c>
      <c r="H10" s="607">
        <f t="shared" si="1"/>
        <v>13957</v>
      </c>
      <c r="I10" s="607">
        <f t="shared" si="1"/>
        <v>11490</v>
      </c>
      <c r="J10" s="607">
        <f t="shared" si="1"/>
        <v>20097</v>
      </c>
    </row>
    <row r="11" spans="1:13" s="635" customFormat="1">
      <c r="A11" s="605" t="s">
        <v>564</v>
      </c>
      <c r="B11" s="626" t="e">
        <f>C11+D11+E11+F11+G11+H11+I11+J11</f>
        <v>#REF!</v>
      </c>
      <c r="C11" s="616" t="e">
        <f>'T3 WPI 2022-2026'!#REF!</f>
        <v>#REF!</v>
      </c>
      <c r="D11" s="602" t="e">
        <f>'T3 WPI 2022-2026'!#REF!</f>
        <v>#REF!</v>
      </c>
      <c r="E11" s="602" t="e">
        <f>'T3 WPI 2022-2026'!#REF!</f>
        <v>#REF!</v>
      </c>
      <c r="F11" s="602" t="e">
        <f>'T3 WPI 2022-2026'!#REF!</f>
        <v>#REF!</v>
      </c>
      <c r="G11" s="602">
        <f>'T3 WPI 2022-2026'!E34</f>
        <v>4245</v>
      </c>
      <c r="H11" s="602">
        <f>'T3 WPI 2022-2026'!H34</f>
        <v>8955</v>
      </c>
      <c r="I11" s="602">
        <f>'T3 WPI 2022-2026'!K34</f>
        <v>7410</v>
      </c>
      <c r="J11" s="602">
        <f>'T3 WPI 2022-2026'!N34</f>
        <v>3600</v>
      </c>
    </row>
    <row r="12" spans="1:13" s="634" customFormat="1" ht="31.5">
      <c r="A12" s="652" t="s">
        <v>589</v>
      </c>
      <c r="B12" s="631" t="e">
        <f>C12+D12+E12+F12+G12+H12+I12+J12</f>
        <v>#REF!</v>
      </c>
      <c r="C12" s="632" t="e">
        <f>'T3 WPI 2022-2026'!#REF!</f>
        <v>#REF!</v>
      </c>
      <c r="D12" s="633" t="e">
        <f>'T3 WPI 2022-2026'!#REF!</f>
        <v>#REF!</v>
      </c>
      <c r="E12" s="633" t="e">
        <f>'T3 WPI 2022-2026'!#REF!</f>
        <v>#REF!</v>
      </c>
      <c r="F12" s="633" t="e">
        <f>'T3 WPI 2022-2026'!#REF!</f>
        <v>#REF!</v>
      </c>
      <c r="G12" s="633">
        <f>'T3 WPI 2022-2026'!E13</f>
        <v>1650</v>
      </c>
      <c r="H12" s="633">
        <f>'T3 WPI 2022-2026'!H13</f>
        <v>2000</v>
      </c>
      <c r="I12" s="633">
        <f>'T3 WPI 2022-2026'!K13</f>
        <v>5840</v>
      </c>
      <c r="J12" s="633">
        <f>'T3 WPI 2022-2026'!N13</f>
        <v>3600</v>
      </c>
    </row>
    <row r="13" spans="1:13" s="587" customFormat="1">
      <c r="A13" s="606" t="s">
        <v>569</v>
      </c>
      <c r="B13" s="624" t="e">
        <f>B11-B12</f>
        <v>#REF!</v>
      </c>
      <c r="C13" s="614" t="e">
        <f t="shared" ref="C13:J13" si="2">C11-C12</f>
        <v>#REF!</v>
      </c>
      <c r="D13" s="607" t="e">
        <f t="shared" si="2"/>
        <v>#REF!</v>
      </c>
      <c r="E13" s="607" t="e">
        <f t="shared" si="2"/>
        <v>#REF!</v>
      </c>
      <c r="F13" s="607" t="e">
        <f t="shared" si="2"/>
        <v>#REF!</v>
      </c>
      <c r="G13" s="607">
        <f t="shared" si="2"/>
        <v>2595</v>
      </c>
      <c r="H13" s="607">
        <f t="shared" si="2"/>
        <v>6955</v>
      </c>
      <c r="I13" s="607">
        <f t="shared" si="2"/>
        <v>1570</v>
      </c>
      <c r="J13" s="607">
        <f t="shared" si="2"/>
        <v>0</v>
      </c>
    </row>
    <row r="14" spans="1:13" s="585" customFormat="1">
      <c r="A14" s="643" t="s">
        <v>587</v>
      </c>
      <c r="B14" s="644" t="e">
        <f t="shared" ref="B14:B24" si="3">C14+D14+E14+F14+G14+H14+I14+J14</f>
        <v>#REF!</v>
      </c>
      <c r="C14" s="645" t="e">
        <f>C4+C7+C11</f>
        <v>#REF!</v>
      </c>
      <c r="D14" s="646" t="e">
        <f t="shared" ref="D14:J14" si="4">D4+D7+D11</f>
        <v>#REF!</v>
      </c>
      <c r="E14" s="646" t="e">
        <f t="shared" si="4"/>
        <v>#REF!</v>
      </c>
      <c r="F14" s="646" t="e">
        <f t="shared" si="4"/>
        <v>#REF!</v>
      </c>
      <c r="G14" s="646" t="e">
        <f t="shared" si="4"/>
        <v>#REF!</v>
      </c>
      <c r="H14" s="646" t="e">
        <f t="shared" si="4"/>
        <v>#REF!</v>
      </c>
      <c r="I14" s="646" t="e">
        <f t="shared" si="4"/>
        <v>#REF!</v>
      </c>
      <c r="J14" s="646" t="e">
        <f t="shared" si="4"/>
        <v>#REF!</v>
      </c>
    </row>
    <row r="15" spans="1:13" s="651" customFormat="1">
      <c r="A15" s="647" t="s">
        <v>588</v>
      </c>
      <c r="B15" s="648" t="e">
        <f t="shared" si="3"/>
        <v>#REF!</v>
      </c>
      <c r="C15" s="649" t="e">
        <f>C9+C12</f>
        <v>#REF!</v>
      </c>
      <c r="D15" s="650" t="e">
        <f t="shared" ref="D15:J15" si="5">D9+D12</f>
        <v>#REF!</v>
      </c>
      <c r="E15" s="650" t="e">
        <f t="shared" si="5"/>
        <v>#REF!</v>
      </c>
      <c r="F15" s="650" t="e">
        <f t="shared" si="5"/>
        <v>#REF!</v>
      </c>
      <c r="G15" s="650" t="e">
        <f t="shared" si="5"/>
        <v>#REF!</v>
      </c>
      <c r="H15" s="650">
        <f t="shared" si="5"/>
        <v>17481</v>
      </c>
      <c r="I15" s="650">
        <f t="shared" si="5"/>
        <v>17012</v>
      </c>
      <c r="J15" s="650">
        <f t="shared" si="5"/>
        <v>3634</v>
      </c>
    </row>
    <row r="16" spans="1:13" s="585" customFormat="1">
      <c r="A16" s="636" t="s">
        <v>586</v>
      </c>
      <c r="B16" s="639" t="e">
        <f t="shared" si="3"/>
        <v>#REF!</v>
      </c>
      <c r="C16" s="640" t="e">
        <f>C17+C21+C22+C23</f>
        <v>#REF!</v>
      </c>
      <c r="D16" s="641">
        <f t="shared" ref="D16:J16" si="6">D17+D21+D22+D23</f>
        <v>25384</v>
      </c>
      <c r="E16" s="641">
        <f t="shared" si="6"/>
        <v>42154</v>
      </c>
      <c r="F16" s="641">
        <f t="shared" si="6"/>
        <v>47446</v>
      </c>
      <c r="G16" s="641">
        <f t="shared" si="6"/>
        <v>67656</v>
      </c>
      <c r="H16" s="641">
        <f t="shared" si="6"/>
        <v>55467</v>
      </c>
      <c r="I16" s="641">
        <f t="shared" si="6"/>
        <v>43946</v>
      </c>
      <c r="J16" s="641">
        <f t="shared" si="6"/>
        <v>64453</v>
      </c>
      <c r="M16" s="588" t="e">
        <f>B17+B21+B22</f>
        <v>#REF!</v>
      </c>
    </row>
    <row r="17" spans="1:10" s="635" customFormat="1">
      <c r="A17" s="605" t="s">
        <v>571</v>
      </c>
      <c r="B17" s="626" t="e">
        <f t="shared" si="3"/>
        <v>#REF!</v>
      </c>
      <c r="C17" s="616" t="e">
        <f>C18+C19+C20</f>
        <v>#REF!</v>
      </c>
      <c r="D17" s="602">
        <f t="shared" ref="D17:J17" si="7">D18+D19+D20</f>
        <v>29084</v>
      </c>
      <c r="E17" s="602">
        <f t="shared" si="7"/>
        <v>26910</v>
      </c>
      <c r="F17" s="602">
        <f t="shared" si="7"/>
        <v>32116</v>
      </c>
      <c r="G17" s="602">
        <f t="shared" si="7"/>
        <v>27537</v>
      </c>
      <c r="H17" s="602">
        <f t="shared" si="7"/>
        <v>37690</v>
      </c>
      <c r="I17" s="602">
        <f t="shared" si="7"/>
        <v>30967</v>
      </c>
      <c r="J17" s="602">
        <f t="shared" si="7"/>
        <v>33526</v>
      </c>
    </row>
    <row r="18" spans="1:10" s="587" customFormat="1">
      <c r="A18" s="594" t="s">
        <v>576</v>
      </c>
      <c r="B18" s="623" t="e">
        <f t="shared" si="3"/>
        <v>#REF!</v>
      </c>
      <c r="C18" s="613" t="e">
        <f>'Załącznik B przepływy'!#REF!</f>
        <v>#REF!</v>
      </c>
      <c r="D18" s="595">
        <f>'Załącznik B przepływy'!E7</f>
        <v>1405</v>
      </c>
      <c r="E18" s="595">
        <f>'Załącznik B przepływy'!F7</f>
        <v>2321</v>
      </c>
      <c r="F18" s="595">
        <f>'Załącznik B przepływy'!G7</f>
        <v>2963</v>
      </c>
      <c r="G18" s="595">
        <f>'Załącznik B przepływy'!H7</f>
        <v>2150</v>
      </c>
      <c r="H18" s="595">
        <f>'Załącznik B przepływy'!I7</f>
        <v>2706</v>
      </c>
      <c r="I18" s="595">
        <f>'Załącznik B przepływy'!J7</f>
        <v>550</v>
      </c>
      <c r="J18" s="595">
        <f>'Załącznik B przepływy'!K7</f>
        <v>1200</v>
      </c>
    </row>
    <row r="19" spans="1:10" s="587" customFormat="1">
      <c r="A19" s="594" t="s">
        <v>577</v>
      </c>
      <c r="B19" s="623" t="e">
        <f t="shared" si="3"/>
        <v>#REF!</v>
      </c>
      <c r="C19" s="613" t="e">
        <f>'Załącznik B przepływy'!#REF!</f>
        <v>#REF!</v>
      </c>
      <c r="D19" s="595">
        <f>'Załącznik B przepływy'!E9</f>
        <v>29330</v>
      </c>
      <c r="E19" s="595">
        <f>'Załącznik B przepływy'!F9</f>
        <v>29650</v>
      </c>
      <c r="F19" s="595">
        <f>'Załącznik B przepływy'!G9</f>
        <v>30354</v>
      </c>
      <c r="G19" s="595">
        <f>'Załącznik B przepływy'!H9</f>
        <v>31473</v>
      </c>
      <c r="H19" s="595">
        <f>'Załącznik B przepływy'!I9</f>
        <v>33433</v>
      </c>
      <c r="I19" s="595">
        <f>'Załącznik B przepływy'!J9</f>
        <v>34650</v>
      </c>
      <c r="J19" s="595">
        <f>'Załącznik B przepływy'!K9</f>
        <v>35074</v>
      </c>
    </row>
    <row r="20" spans="1:10" s="587" customFormat="1">
      <c r="A20" s="606" t="s">
        <v>578</v>
      </c>
      <c r="B20" s="624" t="e">
        <f t="shared" si="3"/>
        <v>#REF!</v>
      </c>
      <c r="C20" s="614" t="e">
        <f>'Załącznik B przepływy'!#REF!-'Załącznik B przepływy'!#REF!+'Załącznik B przepływy'!#REF!-pożyczki.dotacje!#REF!</f>
        <v>#REF!</v>
      </c>
      <c r="D20" s="607">
        <f>'Załącznik B przepływy'!E8-'Załącznik B przepływy'!E9+'Załącznik B przepływy'!E22-pożyczki.dotacje!C55</f>
        <v>-1651</v>
      </c>
      <c r="E20" s="607">
        <f>'Załącznik B przepływy'!F8-'Załącznik B przepływy'!F9+'Załącznik B przepływy'!F22-pożyczki.dotacje!D55</f>
        <v>-5061</v>
      </c>
      <c r="F20" s="607">
        <f>'Załącznik B przepływy'!G8-'Załącznik B przepływy'!G9+'Załącznik B przepływy'!G22-pożyczki.dotacje!E55</f>
        <v>-1201</v>
      </c>
      <c r="G20" s="607">
        <f>'Załącznik B przepływy'!H8-'Załącznik B przepływy'!H9+'Załącznik B przepływy'!H22-pożyczki.dotacje!F55</f>
        <v>-6086</v>
      </c>
      <c r="H20" s="607">
        <f>'Załącznik B przepływy'!I8-'Załącznik B przepływy'!I9+'Załącznik B przepływy'!I22-pożyczki.dotacje!G55</f>
        <v>1551</v>
      </c>
      <c r="I20" s="607">
        <f>'Załącznik B przepływy'!J8-'Załącznik B przepływy'!J9+'Załącznik B przepływy'!J22-pożyczki.dotacje!H55</f>
        <v>-4233</v>
      </c>
      <c r="J20" s="607">
        <f>'Załącznik B przepływy'!K8-'Załącznik B przepływy'!K9+'Załącznik B przepływy'!K22-pożyczki.dotacje!I55</f>
        <v>-2748</v>
      </c>
    </row>
    <row r="21" spans="1:10" s="635" customFormat="1">
      <c r="A21" s="605" t="s">
        <v>572</v>
      </c>
      <c r="B21" s="626" t="e">
        <f t="shared" si="3"/>
        <v>#REF!</v>
      </c>
      <c r="C21" s="616" t="e">
        <f>'Załącznik B przepływy'!#REF!</f>
        <v>#REF!</v>
      </c>
      <c r="D21" s="602">
        <f>'Załącznik B przepływy'!E40</f>
        <v>4896</v>
      </c>
      <c r="E21" s="602">
        <f>'Załącznik B przepływy'!F40</f>
        <v>15928</v>
      </c>
      <c r="F21" s="602">
        <f>'Załącznik B przepływy'!G40</f>
        <v>9990</v>
      </c>
      <c r="G21" s="602">
        <f>'Załącznik B przepływy'!H40</f>
        <v>15467</v>
      </c>
      <c r="H21" s="602">
        <f>'Załącznik B przepływy'!I40</f>
        <v>16086</v>
      </c>
      <c r="I21" s="602">
        <f>'Załącznik B przepływy'!J40</f>
        <v>11363</v>
      </c>
      <c r="J21" s="602">
        <f>'Załącznik B przepływy'!K40</f>
        <v>12100</v>
      </c>
    </row>
    <row r="22" spans="1:10" s="637" customFormat="1">
      <c r="A22" s="592" t="s">
        <v>582</v>
      </c>
      <c r="B22" s="622" t="e">
        <f t="shared" si="3"/>
        <v>#REF!</v>
      </c>
      <c r="C22" s="612" t="e">
        <f>'Załącznik B przepływy'!#REF!</f>
        <v>#REF!</v>
      </c>
      <c r="D22" s="593">
        <f>'Załącznik B przepływy'!E42</f>
        <v>6114</v>
      </c>
      <c r="E22" s="593">
        <f>'Załącznik B przepływy'!F42</f>
        <v>13857</v>
      </c>
      <c r="F22" s="593">
        <f>'Załącznik B przepływy'!G42</f>
        <v>17734</v>
      </c>
      <c r="G22" s="593">
        <f>'Załącznik B przepływy'!H42</f>
        <v>31296</v>
      </c>
      <c r="H22" s="593">
        <f>'Załącznik B przepływy'!I42</f>
        <v>4699</v>
      </c>
      <c r="I22" s="593">
        <f>'Załącznik B przepływy'!J42</f>
        <v>8680</v>
      </c>
      <c r="J22" s="593">
        <f>'Załącznik B przepływy'!K42</f>
        <v>27426</v>
      </c>
    </row>
    <row r="23" spans="1:10" s="638" customFormat="1">
      <c r="A23" s="599" t="s">
        <v>574</v>
      </c>
      <c r="B23" s="628" t="e">
        <f t="shared" si="3"/>
        <v>#REF!</v>
      </c>
      <c r="C23" s="618" t="e">
        <f>-('Załącznik B przepływy'!#REF!+'Załącznik B przepływy'!#REF!)</f>
        <v>#REF!</v>
      </c>
      <c r="D23" s="600">
        <f>-('Załącznik B przepływy'!E47+'Załącznik B przepływy'!E51)</f>
        <v>-14710</v>
      </c>
      <c r="E23" s="600">
        <f>-('Załącznik B przepływy'!F47+'Załącznik B przepływy'!F51)</f>
        <v>-14541</v>
      </c>
      <c r="F23" s="600">
        <f>-('Załącznik B przepływy'!G47+'Załącznik B przepływy'!G51)</f>
        <v>-12394</v>
      </c>
      <c r="G23" s="600">
        <f>-('Załącznik B przepływy'!H47+'Załącznik B przepływy'!H51)</f>
        <v>-6644</v>
      </c>
      <c r="H23" s="600">
        <f>-('Załącznik B przepływy'!I47+'Załącznik B przepływy'!I51)</f>
        <v>-3008</v>
      </c>
      <c r="I23" s="600">
        <f>-('Załącznik B przepływy'!J47+'Załącznik B przepływy'!J51)</f>
        <v>-7064</v>
      </c>
      <c r="J23" s="600">
        <f>-('Załącznik B przepływy'!K47+'Załącznik B przepływy'!K51)</f>
        <v>-8599</v>
      </c>
    </row>
    <row r="24" spans="1:10" s="642" customFormat="1">
      <c r="A24" s="636" t="s">
        <v>579</v>
      </c>
      <c r="B24" s="639" t="e">
        <f t="shared" si="3"/>
        <v>#REF!</v>
      </c>
      <c r="C24" s="640" t="e">
        <f>C16-C14</f>
        <v>#REF!</v>
      </c>
      <c r="D24" s="641" t="e">
        <f t="shared" ref="D24:J24" si="8">D16-D14</f>
        <v>#REF!</v>
      </c>
      <c r="E24" s="641" t="e">
        <f t="shared" si="8"/>
        <v>#REF!</v>
      </c>
      <c r="F24" s="641" t="e">
        <f t="shared" si="8"/>
        <v>#REF!</v>
      </c>
      <c r="G24" s="641" t="e">
        <f t="shared" si="8"/>
        <v>#REF!</v>
      </c>
      <c r="H24" s="641" t="e">
        <f t="shared" si="8"/>
        <v>#REF!</v>
      </c>
      <c r="I24" s="641" t="e">
        <f t="shared" si="8"/>
        <v>#REF!</v>
      </c>
      <c r="J24" s="641" t="e">
        <f t="shared" si="8"/>
        <v>#REF!</v>
      </c>
    </row>
    <row r="25" spans="1:10" ht="12.75" customHeight="1">
      <c r="A25" s="599"/>
      <c r="B25" s="628"/>
      <c r="C25" s="618"/>
      <c r="D25" s="600"/>
      <c r="E25" s="600"/>
      <c r="F25" s="600"/>
      <c r="G25" s="600"/>
      <c r="H25" s="600"/>
      <c r="I25" s="600"/>
      <c r="J25" s="600"/>
    </row>
    <row r="26" spans="1:10">
      <c r="A26" s="605" t="s">
        <v>583</v>
      </c>
      <c r="B26" s="626"/>
      <c r="C26" s="616" t="e">
        <f>'Załącznik B przepływy'!#REF!</f>
        <v>#REF!</v>
      </c>
      <c r="D26" s="602" t="e">
        <f>C28</f>
        <v>#REF!</v>
      </c>
      <c r="E26" s="602" t="e">
        <f t="shared" ref="E26:J26" si="9">D28</f>
        <v>#REF!</v>
      </c>
      <c r="F26" s="602" t="e">
        <f t="shared" si="9"/>
        <v>#REF!</v>
      </c>
      <c r="G26" s="602" t="e">
        <f t="shared" si="9"/>
        <v>#REF!</v>
      </c>
      <c r="H26" s="602" t="e">
        <f t="shared" si="9"/>
        <v>#REF!</v>
      </c>
      <c r="I26" s="602" t="e">
        <f t="shared" si="9"/>
        <v>#REF!</v>
      </c>
      <c r="J26" s="602" t="e">
        <f t="shared" si="9"/>
        <v>#REF!</v>
      </c>
    </row>
    <row r="27" spans="1:10">
      <c r="A27" s="592" t="s">
        <v>585</v>
      </c>
      <c r="B27" s="622" t="e">
        <f>C27+D27+E27+F27+G27+H27+I27+J27</f>
        <v>#REF!</v>
      </c>
      <c r="C27" s="612" t="e">
        <f>C24</f>
        <v>#REF!</v>
      </c>
      <c r="D27" s="593" t="e">
        <f t="shared" ref="D27:J27" si="10">D24</f>
        <v>#REF!</v>
      </c>
      <c r="E27" s="593" t="e">
        <f t="shared" si="10"/>
        <v>#REF!</v>
      </c>
      <c r="F27" s="593" t="e">
        <f t="shared" si="10"/>
        <v>#REF!</v>
      </c>
      <c r="G27" s="593" t="e">
        <f t="shared" si="10"/>
        <v>#REF!</v>
      </c>
      <c r="H27" s="593" t="e">
        <f t="shared" si="10"/>
        <v>#REF!</v>
      </c>
      <c r="I27" s="593" t="e">
        <f t="shared" si="10"/>
        <v>#REF!</v>
      </c>
      <c r="J27" s="593" t="e">
        <f t="shared" si="10"/>
        <v>#REF!</v>
      </c>
    </row>
    <row r="28" spans="1:10">
      <c r="A28" s="597" t="s">
        <v>584</v>
      </c>
      <c r="B28" s="629"/>
      <c r="C28" s="619" t="e">
        <f>C26+C27</f>
        <v>#REF!</v>
      </c>
      <c r="D28" s="598" t="e">
        <f>D26+D27</f>
        <v>#REF!</v>
      </c>
      <c r="E28" s="598" t="e">
        <f t="shared" ref="E28:J28" si="11">E26+E27</f>
        <v>#REF!</v>
      </c>
      <c r="F28" s="598" t="e">
        <f t="shared" si="11"/>
        <v>#REF!</v>
      </c>
      <c r="G28" s="598" t="e">
        <f t="shared" si="11"/>
        <v>#REF!</v>
      </c>
      <c r="H28" s="598" t="e">
        <f t="shared" si="11"/>
        <v>#REF!</v>
      </c>
      <c r="I28" s="598" t="e">
        <f t="shared" si="11"/>
        <v>#REF!</v>
      </c>
      <c r="J28" s="598" t="e">
        <f t="shared" si="11"/>
        <v>#REF!</v>
      </c>
    </row>
  </sheetData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"/>
  <sheetViews>
    <sheetView zoomScale="85" zoomScaleNormal="85" workbookViewId="0">
      <pane ySplit="4" topLeftCell="A5" activePane="bottomLeft" state="frozen"/>
      <selection activeCell="C10" sqref="C10:C11"/>
      <selection pane="bottomLeft" activeCell="Y10" sqref="Y10"/>
    </sheetView>
  </sheetViews>
  <sheetFormatPr defaultRowHeight="12.75"/>
  <cols>
    <col min="1" max="1" width="4.28515625" style="250" customWidth="1"/>
    <col min="2" max="2" width="9.140625" style="250"/>
    <col min="3" max="3" width="57.85546875" style="250" customWidth="1"/>
    <col min="4" max="4" width="7.42578125" style="250" bestFit="1" customWidth="1"/>
    <col min="5" max="5" width="6.85546875" style="250" bestFit="1" customWidth="1"/>
    <col min="6" max="6" width="4.85546875" style="250" bestFit="1" customWidth="1"/>
    <col min="7" max="7" width="7.5703125" style="250" bestFit="1" customWidth="1"/>
    <col min="8" max="8" width="6.85546875" style="250" bestFit="1" customWidth="1"/>
    <col min="9" max="9" width="4.5703125" style="250" bestFit="1" customWidth="1"/>
    <col min="10" max="10" width="7.5703125" style="250" bestFit="1" customWidth="1"/>
    <col min="11" max="11" width="6.85546875" style="250" bestFit="1" customWidth="1"/>
    <col min="12" max="12" width="4.5703125" style="250" bestFit="1" customWidth="1"/>
    <col min="13" max="13" width="7.42578125" style="250" bestFit="1" customWidth="1"/>
    <col min="14" max="14" width="6.7109375" style="250" bestFit="1" customWidth="1"/>
    <col min="15" max="15" width="4.140625" style="250" bestFit="1" customWidth="1"/>
    <col min="16" max="16" width="7.5703125" style="250" bestFit="1" customWidth="1"/>
    <col min="17" max="17" width="6.7109375" style="250" bestFit="1" customWidth="1"/>
    <col min="18" max="18" width="4.5703125" style="250" customWidth="1"/>
    <col min="19" max="20" width="7.85546875" style="250" bestFit="1" customWidth="1"/>
    <col min="21" max="21" width="7.7109375" style="250" customWidth="1"/>
    <col min="22" max="222" width="9.140625" style="250"/>
    <col min="223" max="223" width="4.28515625" style="250" customWidth="1"/>
    <col min="224" max="224" width="9.140625" style="250"/>
    <col min="225" max="225" width="71.28515625" style="250" customWidth="1"/>
    <col min="226" max="226" width="7.42578125" style="250" bestFit="1" customWidth="1"/>
    <col min="227" max="227" width="6.7109375" style="250" bestFit="1" customWidth="1"/>
    <col min="228" max="228" width="8" style="250" bestFit="1" customWidth="1"/>
    <col min="229" max="229" width="7.42578125" style="250" bestFit="1" customWidth="1"/>
    <col min="230" max="230" width="6.7109375" style="250" bestFit="1" customWidth="1"/>
    <col min="231" max="231" width="8" style="250" bestFit="1" customWidth="1"/>
    <col min="232" max="238" width="8" style="250" customWidth="1"/>
    <col min="239" max="239" width="7.42578125" style="250" bestFit="1" customWidth="1"/>
    <col min="240" max="240" width="6.7109375" style="250" bestFit="1" customWidth="1"/>
    <col min="241" max="241" width="8" style="250" bestFit="1" customWidth="1"/>
    <col min="242" max="242" width="8" style="250" customWidth="1"/>
    <col min="243" max="478" width="9.140625" style="250"/>
    <col min="479" max="479" width="4.28515625" style="250" customWidth="1"/>
    <col min="480" max="480" width="9.140625" style="250"/>
    <col min="481" max="481" width="71.28515625" style="250" customWidth="1"/>
    <col min="482" max="482" width="7.42578125" style="250" bestFit="1" customWidth="1"/>
    <col min="483" max="483" width="6.7109375" style="250" bestFit="1" customWidth="1"/>
    <col min="484" max="484" width="8" style="250" bestFit="1" customWidth="1"/>
    <col min="485" max="485" width="7.42578125" style="250" bestFit="1" customWidth="1"/>
    <col min="486" max="486" width="6.7109375" style="250" bestFit="1" customWidth="1"/>
    <col min="487" max="487" width="8" style="250" bestFit="1" customWidth="1"/>
    <col min="488" max="494" width="8" style="250" customWidth="1"/>
    <col min="495" max="495" width="7.42578125" style="250" bestFit="1" customWidth="1"/>
    <col min="496" max="496" width="6.7109375" style="250" bestFit="1" customWidth="1"/>
    <col min="497" max="497" width="8" style="250" bestFit="1" customWidth="1"/>
    <col min="498" max="498" width="8" style="250" customWidth="1"/>
    <col min="499" max="734" width="9.140625" style="250"/>
    <col min="735" max="735" width="4.28515625" style="250" customWidth="1"/>
    <col min="736" max="736" width="9.140625" style="250"/>
    <col min="737" max="737" width="71.28515625" style="250" customWidth="1"/>
    <col min="738" max="738" width="7.42578125" style="250" bestFit="1" customWidth="1"/>
    <col min="739" max="739" width="6.7109375" style="250" bestFit="1" customWidth="1"/>
    <col min="740" max="740" width="8" style="250" bestFit="1" customWidth="1"/>
    <col min="741" max="741" width="7.42578125" style="250" bestFit="1" customWidth="1"/>
    <col min="742" max="742" width="6.7109375" style="250" bestFit="1" customWidth="1"/>
    <col min="743" max="743" width="8" style="250" bestFit="1" customWidth="1"/>
    <col min="744" max="750" width="8" style="250" customWidth="1"/>
    <col min="751" max="751" width="7.42578125" style="250" bestFit="1" customWidth="1"/>
    <col min="752" max="752" width="6.7109375" style="250" bestFit="1" customWidth="1"/>
    <col min="753" max="753" width="8" style="250" bestFit="1" customWidth="1"/>
    <col min="754" max="754" width="8" style="250" customWidth="1"/>
    <col min="755" max="990" width="9.140625" style="250"/>
    <col min="991" max="991" width="4.28515625" style="250" customWidth="1"/>
    <col min="992" max="992" width="9.140625" style="250"/>
    <col min="993" max="993" width="71.28515625" style="250" customWidth="1"/>
    <col min="994" max="994" width="7.42578125" style="250" bestFit="1" customWidth="1"/>
    <col min="995" max="995" width="6.7109375" style="250" bestFit="1" customWidth="1"/>
    <col min="996" max="996" width="8" style="250" bestFit="1" customWidth="1"/>
    <col min="997" max="997" width="7.42578125" style="250" bestFit="1" customWidth="1"/>
    <col min="998" max="998" width="6.7109375" style="250" bestFit="1" customWidth="1"/>
    <col min="999" max="999" width="8" style="250" bestFit="1" customWidth="1"/>
    <col min="1000" max="1006" width="8" style="250" customWidth="1"/>
    <col min="1007" max="1007" width="7.42578125" style="250" bestFit="1" customWidth="1"/>
    <col min="1008" max="1008" width="6.7109375" style="250" bestFit="1" customWidth="1"/>
    <col min="1009" max="1009" width="8" style="250" bestFit="1" customWidth="1"/>
    <col min="1010" max="1010" width="8" style="250" customWidth="1"/>
    <col min="1011" max="1246" width="9.140625" style="250"/>
    <col min="1247" max="1247" width="4.28515625" style="250" customWidth="1"/>
    <col min="1248" max="1248" width="9.140625" style="250"/>
    <col min="1249" max="1249" width="71.28515625" style="250" customWidth="1"/>
    <col min="1250" max="1250" width="7.42578125" style="250" bestFit="1" customWidth="1"/>
    <col min="1251" max="1251" width="6.7109375" style="250" bestFit="1" customWidth="1"/>
    <col min="1252" max="1252" width="8" style="250" bestFit="1" customWidth="1"/>
    <col min="1253" max="1253" width="7.42578125" style="250" bestFit="1" customWidth="1"/>
    <col min="1254" max="1254" width="6.7109375" style="250" bestFit="1" customWidth="1"/>
    <col min="1255" max="1255" width="8" style="250" bestFit="1" customWidth="1"/>
    <col min="1256" max="1262" width="8" style="250" customWidth="1"/>
    <col min="1263" max="1263" width="7.42578125" style="250" bestFit="1" customWidth="1"/>
    <col min="1264" max="1264" width="6.7109375" style="250" bestFit="1" customWidth="1"/>
    <col min="1265" max="1265" width="8" style="250" bestFit="1" customWidth="1"/>
    <col min="1266" max="1266" width="8" style="250" customWidth="1"/>
    <col min="1267" max="1502" width="9.140625" style="250"/>
    <col min="1503" max="1503" width="4.28515625" style="250" customWidth="1"/>
    <col min="1504" max="1504" width="9.140625" style="250"/>
    <col min="1505" max="1505" width="71.28515625" style="250" customWidth="1"/>
    <col min="1506" max="1506" width="7.42578125" style="250" bestFit="1" customWidth="1"/>
    <col min="1507" max="1507" width="6.7109375" style="250" bestFit="1" customWidth="1"/>
    <col min="1508" max="1508" width="8" style="250" bestFit="1" customWidth="1"/>
    <col min="1509" max="1509" width="7.42578125" style="250" bestFit="1" customWidth="1"/>
    <col min="1510" max="1510" width="6.7109375" style="250" bestFit="1" customWidth="1"/>
    <col min="1511" max="1511" width="8" style="250" bestFit="1" customWidth="1"/>
    <col min="1512" max="1518" width="8" style="250" customWidth="1"/>
    <col min="1519" max="1519" width="7.42578125" style="250" bestFit="1" customWidth="1"/>
    <col min="1520" max="1520" width="6.7109375" style="250" bestFit="1" customWidth="1"/>
    <col min="1521" max="1521" width="8" style="250" bestFit="1" customWidth="1"/>
    <col min="1522" max="1522" width="8" style="250" customWidth="1"/>
    <col min="1523" max="1758" width="9.140625" style="250"/>
    <col min="1759" max="1759" width="4.28515625" style="250" customWidth="1"/>
    <col min="1760" max="1760" width="9.140625" style="250"/>
    <col min="1761" max="1761" width="71.28515625" style="250" customWidth="1"/>
    <col min="1762" max="1762" width="7.42578125" style="250" bestFit="1" customWidth="1"/>
    <col min="1763" max="1763" width="6.7109375" style="250" bestFit="1" customWidth="1"/>
    <col min="1764" max="1764" width="8" style="250" bestFit="1" customWidth="1"/>
    <col min="1765" max="1765" width="7.42578125" style="250" bestFit="1" customWidth="1"/>
    <col min="1766" max="1766" width="6.7109375" style="250" bestFit="1" customWidth="1"/>
    <col min="1767" max="1767" width="8" style="250" bestFit="1" customWidth="1"/>
    <col min="1768" max="1774" width="8" style="250" customWidth="1"/>
    <col min="1775" max="1775" width="7.42578125" style="250" bestFit="1" customWidth="1"/>
    <col min="1776" max="1776" width="6.7109375" style="250" bestFit="1" customWidth="1"/>
    <col min="1777" max="1777" width="8" style="250" bestFit="1" customWidth="1"/>
    <col min="1778" max="1778" width="8" style="250" customWidth="1"/>
    <col min="1779" max="2014" width="9.140625" style="250"/>
    <col min="2015" max="2015" width="4.28515625" style="250" customWidth="1"/>
    <col min="2016" max="2016" width="9.140625" style="250"/>
    <col min="2017" max="2017" width="71.28515625" style="250" customWidth="1"/>
    <col min="2018" max="2018" width="7.42578125" style="250" bestFit="1" customWidth="1"/>
    <col min="2019" max="2019" width="6.7109375" style="250" bestFit="1" customWidth="1"/>
    <col min="2020" max="2020" width="8" style="250" bestFit="1" customWidth="1"/>
    <col min="2021" max="2021" width="7.42578125" style="250" bestFit="1" customWidth="1"/>
    <col min="2022" max="2022" width="6.7109375" style="250" bestFit="1" customWidth="1"/>
    <col min="2023" max="2023" width="8" style="250" bestFit="1" customWidth="1"/>
    <col min="2024" max="2030" width="8" style="250" customWidth="1"/>
    <col min="2031" max="2031" width="7.42578125" style="250" bestFit="1" customWidth="1"/>
    <col min="2032" max="2032" width="6.7109375" style="250" bestFit="1" customWidth="1"/>
    <col min="2033" max="2033" width="8" style="250" bestFit="1" customWidth="1"/>
    <col min="2034" max="2034" width="8" style="250" customWidth="1"/>
    <col min="2035" max="2270" width="9.140625" style="250"/>
    <col min="2271" max="2271" width="4.28515625" style="250" customWidth="1"/>
    <col min="2272" max="2272" width="9.140625" style="250"/>
    <col min="2273" max="2273" width="71.28515625" style="250" customWidth="1"/>
    <col min="2274" max="2274" width="7.42578125" style="250" bestFit="1" customWidth="1"/>
    <col min="2275" max="2275" width="6.7109375" style="250" bestFit="1" customWidth="1"/>
    <col min="2276" max="2276" width="8" style="250" bestFit="1" customWidth="1"/>
    <col min="2277" max="2277" width="7.42578125" style="250" bestFit="1" customWidth="1"/>
    <col min="2278" max="2278" width="6.7109375" style="250" bestFit="1" customWidth="1"/>
    <col min="2279" max="2279" width="8" style="250" bestFit="1" customWidth="1"/>
    <col min="2280" max="2286" width="8" style="250" customWidth="1"/>
    <col min="2287" max="2287" width="7.42578125" style="250" bestFit="1" customWidth="1"/>
    <col min="2288" max="2288" width="6.7109375" style="250" bestFit="1" customWidth="1"/>
    <col min="2289" max="2289" width="8" style="250" bestFit="1" customWidth="1"/>
    <col min="2290" max="2290" width="8" style="250" customWidth="1"/>
    <col min="2291" max="2526" width="9.140625" style="250"/>
    <col min="2527" max="2527" width="4.28515625" style="250" customWidth="1"/>
    <col min="2528" max="2528" width="9.140625" style="250"/>
    <col min="2529" max="2529" width="71.28515625" style="250" customWidth="1"/>
    <col min="2530" max="2530" width="7.42578125" style="250" bestFit="1" customWidth="1"/>
    <col min="2531" max="2531" width="6.7109375" style="250" bestFit="1" customWidth="1"/>
    <col min="2532" max="2532" width="8" style="250" bestFit="1" customWidth="1"/>
    <col min="2533" max="2533" width="7.42578125" style="250" bestFit="1" customWidth="1"/>
    <col min="2534" max="2534" width="6.7109375" style="250" bestFit="1" customWidth="1"/>
    <col min="2535" max="2535" width="8" style="250" bestFit="1" customWidth="1"/>
    <col min="2536" max="2542" width="8" style="250" customWidth="1"/>
    <col min="2543" max="2543" width="7.42578125" style="250" bestFit="1" customWidth="1"/>
    <col min="2544" max="2544" width="6.7109375" style="250" bestFit="1" customWidth="1"/>
    <col min="2545" max="2545" width="8" style="250" bestFit="1" customWidth="1"/>
    <col min="2546" max="2546" width="8" style="250" customWidth="1"/>
    <col min="2547" max="2782" width="9.140625" style="250"/>
    <col min="2783" max="2783" width="4.28515625" style="250" customWidth="1"/>
    <col min="2784" max="2784" width="9.140625" style="250"/>
    <col min="2785" max="2785" width="71.28515625" style="250" customWidth="1"/>
    <col min="2786" max="2786" width="7.42578125" style="250" bestFit="1" customWidth="1"/>
    <col min="2787" max="2787" width="6.7109375" style="250" bestFit="1" customWidth="1"/>
    <col min="2788" max="2788" width="8" style="250" bestFit="1" customWidth="1"/>
    <col min="2789" max="2789" width="7.42578125" style="250" bestFit="1" customWidth="1"/>
    <col min="2790" max="2790" width="6.7109375" style="250" bestFit="1" customWidth="1"/>
    <col min="2791" max="2791" width="8" style="250" bestFit="1" customWidth="1"/>
    <col min="2792" max="2798" width="8" style="250" customWidth="1"/>
    <col min="2799" max="2799" width="7.42578125" style="250" bestFit="1" customWidth="1"/>
    <col min="2800" max="2800" width="6.7109375" style="250" bestFit="1" customWidth="1"/>
    <col min="2801" max="2801" width="8" style="250" bestFit="1" customWidth="1"/>
    <col min="2802" max="2802" width="8" style="250" customWidth="1"/>
    <col min="2803" max="3038" width="9.140625" style="250"/>
    <col min="3039" max="3039" width="4.28515625" style="250" customWidth="1"/>
    <col min="3040" max="3040" width="9.140625" style="250"/>
    <col min="3041" max="3041" width="71.28515625" style="250" customWidth="1"/>
    <col min="3042" max="3042" width="7.42578125" style="250" bestFit="1" customWidth="1"/>
    <col min="3043" max="3043" width="6.7109375" style="250" bestFit="1" customWidth="1"/>
    <col min="3044" max="3044" width="8" style="250" bestFit="1" customWidth="1"/>
    <col min="3045" max="3045" width="7.42578125" style="250" bestFit="1" customWidth="1"/>
    <col min="3046" max="3046" width="6.7109375" style="250" bestFit="1" customWidth="1"/>
    <col min="3047" max="3047" width="8" style="250" bestFit="1" customWidth="1"/>
    <col min="3048" max="3054" width="8" style="250" customWidth="1"/>
    <col min="3055" max="3055" width="7.42578125" style="250" bestFit="1" customWidth="1"/>
    <col min="3056" max="3056" width="6.7109375" style="250" bestFit="1" customWidth="1"/>
    <col min="3057" max="3057" width="8" style="250" bestFit="1" customWidth="1"/>
    <col min="3058" max="3058" width="8" style="250" customWidth="1"/>
    <col min="3059" max="3294" width="9.140625" style="250"/>
    <col min="3295" max="3295" width="4.28515625" style="250" customWidth="1"/>
    <col min="3296" max="3296" width="9.140625" style="250"/>
    <col min="3297" max="3297" width="71.28515625" style="250" customWidth="1"/>
    <col min="3298" max="3298" width="7.42578125" style="250" bestFit="1" customWidth="1"/>
    <col min="3299" max="3299" width="6.7109375" style="250" bestFit="1" customWidth="1"/>
    <col min="3300" max="3300" width="8" style="250" bestFit="1" customWidth="1"/>
    <col min="3301" max="3301" width="7.42578125" style="250" bestFit="1" customWidth="1"/>
    <col min="3302" max="3302" width="6.7109375" style="250" bestFit="1" customWidth="1"/>
    <col min="3303" max="3303" width="8" style="250" bestFit="1" customWidth="1"/>
    <col min="3304" max="3310" width="8" style="250" customWidth="1"/>
    <col min="3311" max="3311" width="7.42578125" style="250" bestFit="1" customWidth="1"/>
    <col min="3312" max="3312" width="6.7109375" style="250" bestFit="1" customWidth="1"/>
    <col min="3313" max="3313" width="8" style="250" bestFit="1" customWidth="1"/>
    <col min="3314" max="3314" width="8" style="250" customWidth="1"/>
    <col min="3315" max="3550" width="9.140625" style="250"/>
    <col min="3551" max="3551" width="4.28515625" style="250" customWidth="1"/>
    <col min="3552" max="3552" width="9.140625" style="250"/>
    <col min="3553" max="3553" width="71.28515625" style="250" customWidth="1"/>
    <col min="3554" max="3554" width="7.42578125" style="250" bestFit="1" customWidth="1"/>
    <col min="3555" max="3555" width="6.7109375" style="250" bestFit="1" customWidth="1"/>
    <col min="3556" max="3556" width="8" style="250" bestFit="1" customWidth="1"/>
    <col min="3557" max="3557" width="7.42578125" style="250" bestFit="1" customWidth="1"/>
    <col min="3558" max="3558" width="6.7109375" style="250" bestFit="1" customWidth="1"/>
    <col min="3559" max="3559" width="8" style="250" bestFit="1" customWidth="1"/>
    <col min="3560" max="3566" width="8" style="250" customWidth="1"/>
    <col min="3567" max="3567" width="7.42578125" style="250" bestFit="1" customWidth="1"/>
    <col min="3568" max="3568" width="6.7109375" style="250" bestFit="1" customWidth="1"/>
    <col min="3569" max="3569" width="8" style="250" bestFit="1" customWidth="1"/>
    <col min="3570" max="3570" width="8" style="250" customWidth="1"/>
    <col min="3571" max="3806" width="9.140625" style="250"/>
    <col min="3807" max="3807" width="4.28515625" style="250" customWidth="1"/>
    <col min="3808" max="3808" width="9.140625" style="250"/>
    <col min="3809" max="3809" width="71.28515625" style="250" customWidth="1"/>
    <col min="3810" max="3810" width="7.42578125" style="250" bestFit="1" customWidth="1"/>
    <col min="3811" max="3811" width="6.7109375" style="250" bestFit="1" customWidth="1"/>
    <col min="3812" max="3812" width="8" style="250" bestFit="1" customWidth="1"/>
    <col min="3813" max="3813" width="7.42578125" style="250" bestFit="1" customWidth="1"/>
    <col min="3814" max="3814" width="6.7109375" style="250" bestFit="1" customWidth="1"/>
    <col min="3815" max="3815" width="8" style="250" bestFit="1" customWidth="1"/>
    <col min="3816" max="3822" width="8" style="250" customWidth="1"/>
    <col min="3823" max="3823" width="7.42578125" style="250" bestFit="1" customWidth="1"/>
    <col min="3824" max="3824" width="6.7109375" style="250" bestFit="1" customWidth="1"/>
    <col min="3825" max="3825" width="8" style="250" bestFit="1" customWidth="1"/>
    <col min="3826" max="3826" width="8" style="250" customWidth="1"/>
    <col min="3827" max="4062" width="9.140625" style="250"/>
    <col min="4063" max="4063" width="4.28515625" style="250" customWidth="1"/>
    <col min="4064" max="4064" width="9.140625" style="250"/>
    <col min="4065" max="4065" width="71.28515625" style="250" customWidth="1"/>
    <col min="4066" max="4066" width="7.42578125" style="250" bestFit="1" customWidth="1"/>
    <col min="4067" max="4067" width="6.7109375" style="250" bestFit="1" customWidth="1"/>
    <col min="4068" max="4068" width="8" style="250" bestFit="1" customWidth="1"/>
    <col min="4069" max="4069" width="7.42578125" style="250" bestFit="1" customWidth="1"/>
    <col min="4070" max="4070" width="6.7109375" style="250" bestFit="1" customWidth="1"/>
    <col min="4071" max="4071" width="8" style="250" bestFit="1" customWidth="1"/>
    <col min="4072" max="4078" width="8" style="250" customWidth="1"/>
    <col min="4079" max="4079" width="7.42578125" style="250" bestFit="1" customWidth="1"/>
    <col min="4080" max="4080" width="6.7109375" style="250" bestFit="1" customWidth="1"/>
    <col min="4081" max="4081" width="8" style="250" bestFit="1" customWidth="1"/>
    <col min="4082" max="4082" width="8" style="250" customWidth="1"/>
    <col min="4083" max="4318" width="9.140625" style="250"/>
    <col min="4319" max="4319" width="4.28515625" style="250" customWidth="1"/>
    <col min="4320" max="4320" width="9.140625" style="250"/>
    <col min="4321" max="4321" width="71.28515625" style="250" customWidth="1"/>
    <col min="4322" max="4322" width="7.42578125" style="250" bestFit="1" customWidth="1"/>
    <col min="4323" max="4323" width="6.7109375" style="250" bestFit="1" customWidth="1"/>
    <col min="4324" max="4324" width="8" style="250" bestFit="1" customWidth="1"/>
    <col min="4325" max="4325" width="7.42578125" style="250" bestFit="1" customWidth="1"/>
    <col min="4326" max="4326" width="6.7109375" style="250" bestFit="1" customWidth="1"/>
    <col min="4327" max="4327" width="8" style="250" bestFit="1" customWidth="1"/>
    <col min="4328" max="4334" width="8" style="250" customWidth="1"/>
    <col min="4335" max="4335" width="7.42578125" style="250" bestFit="1" customWidth="1"/>
    <col min="4336" max="4336" width="6.7109375" style="250" bestFit="1" customWidth="1"/>
    <col min="4337" max="4337" width="8" style="250" bestFit="1" customWidth="1"/>
    <col min="4338" max="4338" width="8" style="250" customWidth="1"/>
    <col min="4339" max="4574" width="9.140625" style="250"/>
    <col min="4575" max="4575" width="4.28515625" style="250" customWidth="1"/>
    <col min="4576" max="4576" width="9.140625" style="250"/>
    <col min="4577" max="4577" width="71.28515625" style="250" customWidth="1"/>
    <col min="4578" max="4578" width="7.42578125" style="250" bestFit="1" customWidth="1"/>
    <col min="4579" max="4579" width="6.7109375" style="250" bestFit="1" customWidth="1"/>
    <col min="4580" max="4580" width="8" style="250" bestFit="1" customWidth="1"/>
    <col min="4581" max="4581" width="7.42578125" style="250" bestFit="1" customWidth="1"/>
    <col min="4582" max="4582" width="6.7109375" style="250" bestFit="1" customWidth="1"/>
    <col min="4583" max="4583" width="8" style="250" bestFit="1" customWidth="1"/>
    <col min="4584" max="4590" width="8" style="250" customWidth="1"/>
    <col min="4591" max="4591" width="7.42578125" style="250" bestFit="1" customWidth="1"/>
    <col min="4592" max="4592" width="6.7109375" style="250" bestFit="1" customWidth="1"/>
    <col min="4593" max="4593" width="8" style="250" bestFit="1" customWidth="1"/>
    <col min="4594" max="4594" width="8" style="250" customWidth="1"/>
    <col min="4595" max="4830" width="9.140625" style="250"/>
    <col min="4831" max="4831" width="4.28515625" style="250" customWidth="1"/>
    <col min="4832" max="4832" width="9.140625" style="250"/>
    <col min="4833" max="4833" width="71.28515625" style="250" customWidth="1"/>
    <col min="4834" max="4834" width="7.42578125" style="250" bestFit="1" customWidth="1"/>
    <col min="4835" max="4835" width="6.7109375" style="250" bestFit="1" customWidth="1"/>
    <col min="4836" max="4836" width="8" style="250" bestFit="1" customWidth="1"/>
    <col min="4837" max="4837" width="7.42578125" style="250" bestFit="1" customWidth="1"/>
    <col min="4838" max="4838" width="6.7109375" style="250" bestFit="1" customWidth="1"/>
    <col min="4839" max="4839" width="8" style="250" bestFit="1" customWidth="1"/>
    <col min="4840" max="4846" width="8" style="250" customWidth="1"/>
    <col min="4847" max="4847" width="7.42578125" style="250" bestFit="1" customWidth="1"/>
    <col min="4848" max="4848" width="6.7109375" style="250" bestFit="1" customWidth="1"/>
    <col min="4849" max="4849" width="8" style="250" bestFit="1" customWidth="1"/>
    <col min="4850" max="4850" width="8" style="250" customWidth="1"/>
    <col min="4851" max="5086" width="9.140625" style="250"/>
    <col min="5087" max="5087" width="4.28515625" style="250" customWidth="1"/>
    <col min="5088" max="5088" width="9.140625" style="250"/>
    <col min="5089" max="5089" width="71.28515625" style="250" customWidth="1"/>
    <col min="5090" max="5090" width="7.42578125" style="250" bestFit="1" customWidth="1"/>
    <col min="5091" max="5091" width="6.7109375" style="250" bestFit="1" customWidth="1"/>
    <col min="5092" max="5092" width="8" style="250" bestFit="1" customWidth="1"/>
    <col min="5093" max="5093" width="7.42578125" style="250" bestFit="1" customWidth="1"/>
    <col min="5094" max="5094" width="6.7109375" style="250" bestFit="1" customWidth="1"/>
    <col min="5095" max="5095" width="8" style="250" bestFit="1" customWidth="1"/>
    <col min="5096" max="5102" width="8" style="250" customWidth="1"/>
    <col min="5103" max="5103" width="7.42578125" style="250" bestFit="1" customWidth="1"/>
    <col min="5104" max="5104" width="6.7109375" style="250" bestFit="1" customWidth="1"/>
    <col min="5105" max="5105" width="8" style="250" bestFit="1" customWidth="1"/>
    <col min="5106" max="5106" width="8" style="250" customWidth="1"/>
    <col min="5107" max="5342" width="9.140625" style="250"/>
    <col min="5343" max="5343" width="4.28515625" style="250" customWidth="1"/>
    <col min="5344" max="5344" width="9.140625" style="250"/>
    <col min="5345" max="5345" width="71.28515625" style="250" customWidth="1"/>
    <col min="5346" max="5346" width="7.42578125" style="250" bestFit="1" customWidth="1"/>
    <col min="5347" max="5347" width="6.7109375" style="250" bestFit="1" customWidth="1"/>
    <col min="5348" max="5348" width="8" style="250" bestFit="1" customWidth="1"/>
    <col min="5349" max="5349" width="7.42578125" style="250" bestFit="1" customWidth="1"/>
    <col min="5350" max="5350" width="6.7109375" style="250" bestFit="1" customWidth="1"/>
    <col min="5351" max="5351" width="8" style="250" bestFit="1" customWidth="1"/>
    <col min="5352" max="5358" width="8" style="250" customWidth="1"/>
    <col min="5359" max="5359" width="7.42578125" style="250" bestFit="1" customWidth="1"/>
    <col min="5360" max="5360" width="6.7109375" style="250" bestFit="1" customWidth="1"/>
    <col min="5361" max="5361" width="8" style="250" bestFit="1" customWidth="1"/>
    <col min="5362" max="5362" width="8" style="250" customWidth="1"/>
    <col min="5363" max="5598" width="9.140625" style="250"/>
    <col min="5599" max="5599" width="4.28515625" style="250" customWidth="1"/>
    <col min="5600" max="5600" width="9.140625" style="250"/>
    <col min="5601" max="5601" width="71.28515625" style="250" customWidth="1"/>
    <col min="5602" max="5602" width="7.42578125" style="250" bestFit="1" customWidth="1"/>
    <col min="5603" max="5603" width="6.7109375" style="250" bestFit="1" customWidth="1"/>
    <col min="5604" max="5604" width="8" style="250" bestFit="1" customWidth="1"/>
    <col min="5605" max="5605" width="7.42578125" style="250" bestFit="1" customWidth="1"/>
    <col min="5606" max="5606" width="6.7109375" style="250" bestFit="1" customWidth="1"/>
    <col min="5607" max="5607" width="8" style="250" bestFit="1" customWidth="1"/>
    <col min="5608" max="5614" width="8" style="250" customWidth="1"/>
    <col min="5615" max="5615" width="7.42578125" style="250" bestFit="1" customWidth="1"/>
    <col min="5616" max="5616" width="6.7109375" style="250" bestFit="1" customWidth="1"/>
    <col min="5617" max="5617" width="8" style="250" bestFit="1" customWidth="1"/>
    <col min="5618" max="5618" width="8" style="250" customWidth="1"/>
    <col min="5619" max="5854" width="9.140625" style="250"/>
    <col min="5855" max="5855" width="4.28515625" style="250" customWidth="1"/>
    <col min="5856" max="5856" width="9.140625" style="250"/>
    <col min="5857" max="5857" width="71.28515625" style="250" customWidth="1"/>
    <col min="5858" max="5858" width="7.42578125" style="250" bestFit="1" customWidth="1"/>
    <col min="5859" max="5859" width="6.7109375" style="250" bestFit="1" customWidth="1"/>
    <col min="5860" max="5860" width="8" style="250" bestFit="1" customWidth="1"/>
    <col min="5861" max="5861" width="7.42578125" style="250" bestFit="1" customWidth="1"/>
    <col min="5862" max="5862" width="6.7109375" style="250" bestFit="1" customWidth="1"/>
    <col min="5863" max="5863" width="8" style="250" bestFit="1" customWidth="1"/>
    <col min="5864" max="5870" width="8" style="250" customWidth="1"/>
    <col min="5871" max="5871" width="7.42578125" style="250" bestFit="1" customWidth="1"/>
    <col min="5872" max="5872" width="6.7109375" style="250" bestFit="1" customWidth="1"/>
    <col min="5873" max="5873" width="8" style="250" bestFit="1" customWidth="1"/>
    <col min="5874" max="5874" width="8" style="250" customWidth="1"/>
    <col min="5875" max="6110" width="9.140625" style="250"/>
    <col min="6111" max="6111" width="4.28515625" style="250" customWidth="1"/>
    <col min="6112" max="6112" width="9.140625" style="250"/>
    <col min="6113" max="6113" width="71.28515625" style="250" customWidth="1"/>
    <col min="6114" max="6114" width="7.42578125" style="250" bestFit="1" customWidth="1"/>
    <col min="6115" max="6115" width="6.7109375" style="250" bestFit="1" customWidth="1"/>
    <col min="6116" max="6116" width="8" style="250" bestFit="1" customWidth="1"/>
    <col min="6117" max="6117" width="7.42578125" style="250" bestFit="1" customWidth="1"/>
    <col min="6118" max="6118" width="6.7109375" style="250" bestFit="1" customWidth="1"/>
    <col min="6119" max="6119" width="8" style="250" bestFit="1" customWidth="1"/>
    <col min="6120" max="6126" width="8" style="250" customWidth="1"/>
    <col min="6127" max="6127" width="7.42578125" style="250" bestFit="1" customWidth="1"/>
    <col min="6128" max="6128" width="6.7109375" style="250" bestFit="1" customWidth="1"/>
    <col min="6129" max="6129" width="8" style="250" bestFit="1" customWidth="1"/>
    <col min="6130" max="6130" width="8" style="250" customWidth="1"/>
    <col min="6131" max="6366" width="9.140625" style="250"/>
    <col min="6367" max="6367" width="4.28515625" style="250" customWidth="1"/>
    <col min="6368" max="6368" width="9.140625" style="250"/>
    <col min="6369" max="6369" width="71.28515625" style="250" customWidth="1"/>
    <col min="6370" max="6370" width="7.42578125" style="250" bestFit="1" customWidth="1"/>
    <col min="6371" max="6371" width="6.7109375" style="250" bestFit="1" customWidth="1"/>
    <col min="6372" max="6372" width="8" style="250" bestFit="1" customWidth="1"/>
    <col min="6373" max="6373" width="7.42578125" style="250" bestFit="1" customWidth="1"/>
    <col min="6374" max="6374" width="6.7109375" style="250" bestFit="1" customWidth="1"/>
    <col min="6375" max="6375" width="8" style="250" bestFit="1" customWidth="1"/>
    <col min="6376" max="6382" width="8" style="250" customWidth="1"/>
    <col min="6383" max="6383" width="7.42578125" style="250" bestFit="1" customWidth="1"/>
    <col min="6384" max="6384" width="6.7109375" style="250" bestFit="1" customWidth="1"/>
    <col min="6385" max="6385" width="8" style="250" bestFit="1" customWidth="1"/>
    <col min="6386" max="6386" width="8" style="250" customWidth="1"/>
    <col min="6387" max="6622" width="9.140625" style="250"/>
    <col min="6623" max="6623" width="4.28515625" style="250" customWidth="1"/>
    <col min="6624" max="6624" width="9.140625" style="250"/>
    <col min="6625" max="6625" width="71.28515625" style="250" customWidth="1"/>
    <col min="6626" max="6626" width="7.42578125" style="250" bestFit="1" customWidth="1"/>
    <col min="6627" max="6627" width="6.7109375" style="250" bestFit="1" customWidth="1"/>
    <col min="6628" max="6628" width="8" style="250" bestFit="1" customWidth="1"/>
    <col min="6629" max="6629" width="7.42578125" style="250" bestFit="1" customWidth="1"/>
    <col min="6630" max="6630" width="6.7109375" style="250" bestFit="1" customWidth="1"/>
    <col min="6631" max="6631" width="8" style="250" bestFit="1" customWidth="1"/>
    <col min="6632" max="6638" width="8" style="250" customWidth="1"/>
    <col min="6639" max="6639" width="7.42578125" style="250" bestFit="1" customWidth="1"/>
    <col min="6640" max="6640" width="6.7109375" style="250" bestFit="1" customWidth="1"/>
    <col min="6641" max="6641" width="8" style="250" bestFit="1" customWidth="1"/>
    <col min="6642" max="6642" width="8" style="250" customWidth="1"/>
    <col min="6643" max="6878" width="9.140625" style="250"/>
    <col min="6879" max="6879" width="4.28515625" style="250" customWidth="1"/>
    <col min="6880" max="6880" width="9.140625" style="250"/>
    <col min="6881" max="6881" width="71.28515625" style="250" customWidth="1"/>
    <col min="6882" max="6882" width="7.42578125" style="250" bestFit="1" customWidth="1"/>
    <col min="6883" max="6883" width="6.7109375" style="250" bestFit="1" customWidth="1"/>
    <col min="6884" max="6884" width="8" style="250" bestFit="1" customWidth="1"/>
    <col min="6885" max="6885" width="7.42578125" style="250" bestFit="1" customWidth="1"/>
    <col min="6886" max="6886" width="6.7109375" style="250" bestFit="1" customWidth="1"/>
    <col min="6887" max="6887" width="8" style="250" bestFit="1" customWidth="1"/>
    <col min="6888" max="6894" width="8" style="250" customWidth="1"/>
    <col min="6895" max="6895" width="7.42578125" style="250" bestFit="1" customWidth="1"/>
    <col min="6896" max="6896" width="6.7109375" style="250" bestFit="1" customWidth="1"/>
    <col min="6897" max="6897" width="8" style="250" bestFit="1" customWidth="1"/>
    <col min="6898" max="6898" width="8" style="250" customWidth="1"/>
    <col min="6899" max="7134" width="9.140625" style="250"/>
    <col min="7135" max="7135" width="4.28515625" style="250" customWidth="1"/>
    <col min="7136" max="7136" width="9.140625" style="250"/>
    <col min="7137" max="7137" width="71.28515625" style="250" customWidth="1"/>
    <col min="7138" max="7138" width="7.42578125" style="250" bestFit="1" customWidth="1"/>
    <col min="7139" max="7139" width="6.7109375" style="250" bestFit="1" customWidth="1"/>
    <col min="7140" max="7140" width="8" style="250" bestFit="1" customWidth="1"/>
    <col min="7141" max="7141" width="7.42578125" style="250" bestFit="1" customWidth="1"/>
    <col min="7142" max="7142" width="6.7109375" style="250" bestFit="1" customWidth="1"/>
    <col min="7143" max="7143" width="8" style="250" bestFit="1" customWidth="1"/>
    <col min="7144" max="7150" width="8" style="250" customWidth="1"/>
    <col min="7151" max="7151" width="7.42578125" style="250" bestFit="1" customWidth="1"/>
    <col min="7152" max="7152" width="6.7109375" style="250" bestFit="1" customWidth="1"/>
    <col min="7153" max="7153" width="8" style="250" bestFit="1" customWidth="1"/>
    <col min="7154" max="7154" width="8" style="250" customWidth="1"/>
    <col min="7155" max="7390" width="9.140625" style="250"/>
    <col min="7391" max="7391" width="4.28515625" style="250" customWidth="1"/>
    <col min="7392" max="7392" width="9.140625" style="250"/>
    <col min="7393" max="7393" width="71.28515625" style="250" customWidth="1"/>
    <col min="7394" max="7394" width="7.42578125" style="250" bestFit="1" customWidth="1"/>
    <col min="7395" max="7395" width="6.7109375" style="250" bestFit="1" customWidth="1"/>
    <col min="7396" max="7396" width="8" style="250" bestFit="1" customWidth="1"/>
    <col min="7397" max="7397" width="7.42578125" style="250" bestFit="1" customWidth="1"/>
    <col min="7398" max="7398" width="6.7109375" style="250" bestFit="1" customWidth="1"/>
    <col min="7399" max="7399" width="8" style="250" bestFit="1" customWidth="1"/>
    <col min="7400" max="7406" width="8" style="250" customWidth="1"/>
    <col min="7407" max="7407" width="7.42578125" style="250" bestFit="1" customWidth="1"/>
    <col min="7408" max="7408" width="6.7109375" style="250" bestFit="1" customWidth="1"/>
    <col min="7409" max="7409" width="8" style="250" bestFit="1" customWidth="1"/>
    <col min="7410" max="7410" width="8" style="250" customWidth="1"/>
    <col min="7411" max="7646" width="9.140625" style="250"/>
    <col min="7647" max="7647" width="4.28515625" style="250" customWidth="1"/>
    <col min="7648" max="7648" width="9.140625" style="250"/>
    <col min="7649" max="7649" width="71.28515625" style="250" customWidth="1"/>
    <col min="7650" max="7650" width="7.42578125" style="250" bestFit="1" customWidth="1"/>
    <col min="7651" max="7651" width="6.7109375" style="250" bestFit="1" customWidth="1"/>
    <col min="7652" max="7652" width="8" style="250" bestFit="1" customWidth="1"/>
    <col min="7653" max="7653" width="7.42578125" style="250" bestFit="1" customWidth="1"/>
    <col min="7654" max="7654" width="6.7109375" style="250" bestFit="1" customWidth="1"/>
    <col min="7655" max="7655" width="8" style="250" bestFit="1" customWidth="1"/>
    <col min="7656" max="7662" width="8" style="250" customWidth="1"/>
    <col min="7663" max="7663" width="7.42578125" style="250" bestFit="1" customWidth="1"/>
    <col min="7664" max="7664" width="6.7109375" style="250" bestFit="1" customWidth="1"/>
    <col min="7665" max="7665" width="8" style="250" bestFit="1" customWidth="1"/>
    <col min="7666" max="7666" width="8" style="250" customWidth="1"/>
    <col min="7667" max="7902" width="9.140625" style="250"/>
    <col min="7903" max="7903" width="4.28515625" style="250" customWidth="1"/>
    <col min="7904" max="7904" width="9.140625" style="250"/>
    <col min="7905" max="7905" width="71.28515625" style="250" customWidth="1"/>
    <col min="7906" max="7906" width="7.42578125" style="250" bestFit="1" customWidth="1"/>
    <col min="7907" max="7907" width="6.7109375" style="250" bestFit="1" customWidth="1"/>
    <col min="7908" max="7908" width="8" style="250" bestFit="1" customWidth="1"/>
    <col min="7909" max="7909" width="7.42578125" style="250" bestFit="1" customWidth="1"/>
    <col min="7910" max="7910" width="6.7109375" style="250" bestFit="1" customWidth="1"/>
    <col min="7911" max="7911" width="8" style="250" bestFit="1" customWidth="1"/>
    <col min="7912" max="7918" width="8" style="250" customWidth="1"/>
    <col min="7919" max="7919" width="7.42578125" style="250" bestFit="1" customWidth="1"/>
    <col min="7920" max="7920" width="6.7109375" style="250" bestFit="1" customWidth="1"/>
    <col min="7921" max="7921" width="8" style="250" bestFit="1" customWidth="1"/>
    <col min="7922" max="7922" width="8" style="250" customWidth="1"/>
    <col min="7923" max="8158" width="9.140625" style="250"/>
    <col min="8159" max="8159" width="4.28515625" style="250" customWidth="1"/>
    <col min="8160" max="8160" width="9.140625" style="250"/>
    <col min="8161" max="8161" width="71.28515625" style="250" customWidth="1"/>
    <col min="8162" max="8162" width="7.42578125" style="250" bestFit="1" customWidth="1"/>
    <col min="8163" max="8163" width="6.7109375" style="250" bestFit="1" customWidth="1"/>
    <col min="8164" max="8164" width="8" style="250" bestFit="1" customWidth="1"/>
    <col min="8165" max="8165" width="7.42578125" style="250" bestFit="1" customWidth="1"/>
    <col min="8166" max="8166" width="6.7109375" style="250" bestFit="1" customWidth="1"/>
    <col min="8167" max="8167" width="8" style="250" bestFit="1" customWidth="1"/>
    <col min="8168" max="8174" width="8" style="250" customWidth="1"/>
    <col min="8175" max="8175" width="7.42578125" style="250" bestFit="1" customWidth="1"/>
    <col min="8176" max="8176" width="6.7109375" style="250" bestFit="1" customWidth="1"/>
    <col min="8177" max="8177" width="8" style="250" bestFit="1" customWidth="1"/>
    <col min="8178" max="8178" width="8" style="250" customWidth="1"/>
    <col min="8179" max="8414" width="9.140625" style="250"/>
    <col min="8415" max="8415" width="4.28515625" style="250" customWidth="1"/>
    <col min="8416" max="8416" width="9.140625" style="250"/>
    <col min="8417" max="8417" width="71.28515625" style="250" customWidth="1"/>
    <col min="8418" max="8418" width="7.42578125" style="250" bestFit="1" customWidth="1"/>
    <col min="8419" max="8419" width="6.7109375" style="250" bestFit="1" customWidth="1"/>
    <col min="8420" max="8420" width="8" style="250" bestFit="1" customWidth="1"/>
    <col min="8421" max="8421" width="7.42578125" style="250" bestFit="1" customWidth="1"/>
    <col min="8422" max="8422" width="6.7109375" style="250" bestFit="1" customWidth="1"/>
    <col min="8423" max="8423" width="8" style="250" bestFit="1" customWidth="1"/>
    <col min="8424" max="8430" width="8" style="250" customWidth="1"/>
    <col min="8431" max="8431" width="7.42578125" style="250" bestFit="1" customWidth="1"/>
    <col min="8432" max="8432" width="6.7109375" style="250" bestFit="1" customWidth="1"/>
    <col min="8433" max="8433" width="8" style="250" bestFit="1" customWidth="1"/>
    <col min="8434" max="8434" width="8" style="250" customWidth="1"/>
    <col min="8435" max="8670" width="9.140625" style="250"/>
    <col min="8671" max="8671" width="4.28515625" style="250" customWidth="1"/>
    <col min="8672" max="8672" width="9.140625" style="250"/>
    <col min="8673" max="8673" width="71.28515625" style="250" customWidth="1"/>
    <col min="8674" max="8674" width="7.42578125" style="250" bestFit="1" customWidth="1"/>
    <col min="8675" max="8675" width="6.7109375" style="250" bestFit="1" customWidth="1"/>
    <col min="8676" max="8676" width="8" style="250" bestFit="1" customWidth="1"/>
    <col min="8677" max="8677" width="7.42578125" style="250" bestFit="1" customWidth="1"/>
    <col min="8678" max="8678" width="6.7109375" style="250" bestFit="1" customWidth="1"/>
    <col min="8679" max="8679" width="8" style="250" bestFit="1" customWidth="1"/>
    <col min="8680" max="8686" width="8" style="250" customWidth="1"/>
    <col min="8687" max="8687" width="7.42578125" style="250" bestFit="1" customWidth="1"/>
    <col min="8688" max="8688" width="6.7109375" style="250" bestFit="1" customWidth="1"/>
    <col min="8689" max="8689" width="8" style="250" bestFit="1" customWidth="1"/>
    <col min="8690" max="8690" width="8" style="250" customWidth="1"/>
    <col min="8691" max="8926" width="9.140625" style="250"/>
    <col min="8927" max="8927" width="4.28515625" style="250" customWidth="1"/>
    <col min="8928" max="8928" width="9.140625" style="250"/>
    <col min="8929" max="8929" width="71.28515625" style="250" customWidth="1"/>
    <col min="8930" max="8930" width="7.42578125" style="250" bestFit="1" customWidth="1"/>
    <col min="8931" max="8931" width="6.7109375" style="250" bestFit="1" customWidth="1"/>
    <col min="8932" max="8932" width="8" style="250" bestFit="1" customWidth="1"/>
    <col min="8933" max="8933" width="7.42578125" style="250" bestFit="1" customWidth="1"/>
    <col min="8934" max="8934" width="6.7109375" style="250" bestFit="1" customWidth="1"/>
    <col min="8935" max="8935" width="8" style="250" bestFit="1" customWidth="1"/>
    <col min="8936" max="8942" width="8" style="250" customWidth="1"/>
    <col min="8943" max="8943" width="7.42578125" style="250" bestFit="1" customWidth="1"/>
    <col min="8944" max="8944" width="6.7109375" style="250" bestFit="1" customWidth="1"/>
    <col min="8945" max="8945" width="8" style="250" bestFit="1" customWidth="1"/>
    <col min="8946" max="8946" width="8" style="250" customWidth="1"/>
    <col min="8947" max="9182" width="9.140625" style="250"/>
    <col min="9183" max="9183" width="4.28515625" style="250" customWidth="1"/>
    <col min="9184" max="9184" width="9.140625" style="250"/>
    <col min="9185" max="9185" width="71.28515625" style="250" customWidth="1"/>
    <col min="9186" max="9186" width="7.42578125" style="250" bestFit="1" customWidth="1"/>
    <col min="9187" max="9187" width="6.7109375" style="250" bestFit="1" customWidth="1"/>
    <col min="9188" max="9188" width="8" style="250" bestFit="1" customWidth="1"/>
    <col min="9189" max="9189" width="7.42578125" style="250" bestFit="1" customWidth="1"/>
    <col min="9190" max="9190" width="6.7109375" style="250" bestFit="1" customWidth="1"/>
    <col min="9191" max="9191" width="8" style="250" bestFit="1" customWidth="1"/>
    <col min="9192" max="9198" width="8" style="250" customWidth="1"/>
    <col min="9199" max="9199" width="7.42578125" style="250" bestFit="1" customWidth="1"/>
    <col min="9200" max="9200" width="6.7109375" style="250" bestFit="1" customWidth="1"/>
    <col min="9201" max="9201" width="8" style="250" bestFit="1" customWidth="1"/>
    <col min="9202" max="9202" width="8" style="250" customWidth="1"/>
    <col min="9203" max="9438" width="9.140625" style="250"/>
    <col min="9439" max="9439" width="4.28515625" style="250" customWidth="1"/>
    <col min="9440" max="9440" width="9.140625" style="250"/>
    <col min="9441" max="9441" width="71.28515625" style="250" customWidth="1"/>
    <col min="9442" max="9442" width="7.42578125" style="250" bestFit="1" customWidth="1"/>
    <col min="9443" max="9443" width="6.7109375" style="250" bestFit="1" customWidth="1"/>
    <col min="9444" max="9444" width="8" style="250" bestFit="1" customWidth="1"/>
    <col min="9445" max="9445" width="7.42578125" style="250" bestFit="1" customWidth="1"/>
    <col min="9446" max="9446" width="6.7109375" style="250" bestFit="1" customWidth="1"/>
    <col min="9447" max="9447" width="8" style="250" bestFit="1" customWidth="1"/>
    <col min="9448" max="9454" width="8" style="250" customWidth="1"/>
    <col min="9455" max="9455" width="7.42578125" style="250" bestFit="1" customWidth="1"/>
    <col min="9456" max="9456" width="6.7109375" style="250" bestFit="1" customWidth="1"/>
    <col min="9457" max="9457" width="8" style="250" bestFit="1" customWidth="1"/>
    <col min="9458" max="9458" width="8" style="250" customWidth="1"/>
    <col min="9459" max="9694" width="9.140625" style="250"/>
    <col min="9695" max="9695" width="4.28515625" style="250" customWidth="1"/>
    <col min="9696" max="9696" width="9.140625" style="250"/>
    <col min="9697" max="9697" width="71.28515625" style="250" customWidth="1"/>
    <col min="9698" max="9698" width="7.42578125" style="250" bestFit="1" customWidth="1"/>
    <col min="9699" max="9699" width="6.7109375" style="250" bestFit="1" customWidth="1"/>
    <col min="9700" max="9700" width="8" style="250" bestFit="1" customWidth="1"/>
    <col min="9701" max="9701" width="7.42578125" style="250" bestFit="1" customWidth="1"/>
    <col min="9702" max="9702" width="6.7109375" style="250" bestFit="1" customWidth="1"/>
    <col min="9703" max="9703" width="8" style="250" bestFit="1" customWidth="1"/>
    <col min="9704" max="9710" width="8" style="250" customWidth="1"/>
    <col min="9711" max="9711" width="7.42578125" style="250" bestFit="1" customWidth="1"/>
    <col min="9712" max="9712" width="6.7109375" style="250" bestFit="1" customWidth="1"/>
    <col min="9713" max="9713" width="8" style="250" bestFit="1" customWidth="1"/>
    <col min="9714" max="9714" width="8" style="250" customWidth="1"/>
    <col min="9715" max="9950" width="9.140625" style="250"/>
    <col min="9951" max="9951" width="4.28515625" style="250" customWidth="1"/>
    <col min="9952" max="9952" width="9.140625" style="250"/>
    <col min="9953" max="9953" width="71.28515625" style="250" customWidth="1"/>
    <col min="9954" max="9954" width="7.42578125" style="250" bestFit="1" customWidth="1"/>
    <col min="9955" max="9955" width="6.7109375" style="250" bestFit="1" customWidth="1"/>
    <col min="9956" max="9956" width="8" style="250" bestFit="1" customWidth="1"/>
    <col min="9957" max="9957" width="7.42578125" style="250" bestFit="1" customWidth="1"/>
    <col min="9958" max="9958" width="6.7109375" style="250" bestFit="1" customWidth="1"/>
    <col min="9959" max="9959" width="8" style="250" bestFit="1" customWidth="1"/>
    <col min="9960" max="9966" width="8" style="250" customWidth="1"/>
    <col min="9967" max="9967" width="7.42578125" style="250" bestFit="1" customWidth="1"/>
    <col min="9968" max="9968" width="6.7109375" style="250" bestFit="1" customWidth="1"/>
    <col min="9969" max="9969" width="8" style="250" bestFit="1" customWidth="1"/>
    <col min="9970" max="9970" width="8" style="250" customWidth="1"/>
    <col min="9971" max="10206" width="9.140625" style="250"/>
    <col min="10207" max="10207" width="4.28515625" style="250" customWidth="1"/>
    <col min="10208" max="10208" width="9.140625" style="250"/>
    <col min="10209" max="10209" width="71.28515625" style="250" customWidth="1"/>
    <col min="10210" max="10210" width="7.42578125" style="250" bestFit="1" customWidth="1"/>
    <col min="10211" max="10211" width="6.7109375" style="250" bestFit="1" customWidth="1"/>
    <col min="10212" max="10212" width="8" style="250" bestFit="1" customWidth="1"/>
    <col min="10213" max="10213" width="7.42578125" style="250" bestFit="1" customWidth="1"/>
    <col min="10214" max="10214" width="6.7109375" style="250" bestFit="1" customWidth="1"/>
    <col min="10215" max="10215" width="8" style="250" bestFit="1" customWidth="1"/>
    <col min="10216" max="10222" width="8" style="250" customWidth="1"/>
    <col min="10223" max="10223" width="7.42578125" style="250" bestFit="1" customWidth="1"/>
    <col min="10224" max="10224" width="6.7109375" style="250" bestFit="1" customWidth="1"/>
    <col min="10225" max="10225" width="8" style="250" bestFit="1" customWidth="1"/>
    <col min="10226" max="10226" width="8" style="250" customWidth="1"/>
    <col min="10227" max="10462" width="9.140625" style="250"/>
    <col min="10463" max="10463" width="4.28515625" style="250" customWidth="1"/>
    <col min="10464" max="10464" width="9.140625" style="250"/>
    <col min="10465" max="10465" width="71.28515625" style="250" customWidth="1"/>
    <col min="10466" max="10466" width="7.42578125" style="250" bestFit="1" customWidth="1"/>
    <col min="10467" max="10467" width="6.7109375" style="250" bestFit="1" customWidth="1"/>
    <col min="10468" max="10468" width="8" style="250" bestFit="1" customWidth="1"/>
    <col min="10469" max="10469" width="7.42578125" style="250" bestFit="1" customWidth="1"/>
    <col min="10470" max="10470" width="6.7109375" style="250" bestFit="1" customWidth="1"/>
    <col min="10471" max="10471" width="8" style="250" bestFit="1" customWidth="1"/>
    <col min="10472" max="10478" width="8" style="250" customWidth="1"/>
    <col min="10479" max="10479" width="7.42578125" style="250" bestFit="1" customWidth="1"/>
    <col min="10480" max="10480" width="6.7109375" style="250" bestFit="1" customWidth="1"/>
    <col min="10481" max="10481" width="8" style="250" bestFit="1" customWidth="1"/>
    <col min="10482" max="10482" width="8" style="250" customWidth="1"/>
    <col min="10483" max="10718" width="9.140625" style="250"/>
    <col min="10719" max="10719" width="4.28515625" style="250" customWidth="1"/>
    <col min="10720" max="10720" width="9.140625" style="250"/>
    <col min="10721" max="10721" width="71.28515625" style="250" customWidth="1"/>
    <col min="10722" max="10722" width="7.42578125" style="250" bestFit="1" customWidth="1"/>
    <col min="10723" max="10723" width="6.7109375" style="250" bestFit="1" customWidth="1"/>
    <col min="10724" max="10724" width="8" style="250" bestFit="1" customWidth="1"/>
    <col min="10725" max="10725" width="7.42578125" style="250" bestFit="1" customWidth="1"/>
    <col min="10726" max="10726" width="6.7109375" style="250" bestFit="1" customWidth="1"/>
    <col min="10727" max="10727" width="8" style="250" bestFit="1" customWidth="1"/>
    <col min="10728" max="10734" width="8" style="250" customWidth="1"/>
    <col min="10735" max="10735" width="7.42578125" style="250" bestFit="1" customWidth="1"/>
    <col min="10736" max="10736" width="6.7109375" style="250" bestFit="1" customWidth="1"/>
    <col min="10737" max="10737" width="8" style="250" bestFit="1" customWidth="1"/>
    <col min="10738" max="10738" width="8" style="250" customWidth="1"/>
    <col min="10739" max="10974" width="9.140625" style="250"/>
    <col min="10975" max="10975" width="4.28515625" style="250" customWidth="1"/>
    <col min="10976" max="10976" width="9.140625" style="250"/>
    <col min="10977" max="10977" width="71.28515625" style="250" customWidth="1"/>
    <col min="10978" max="10978" width="7.42578125" style="250" bestFit="1" customWidth="1"/>
    <col min="10979" max="10979" width="6.7109375" style="250" bestFit="1" customWidth="1"/>
    <col min="10980" max="10980" width="8" style="250" bestFit="1" customWidth="1"/>
    <col min="10981" max="10981" width="7.42578125" style="250" bestFit="1" customWidth="1"/>
    <col min="10982" max="10982" width="6.7109375" style="250" bestFit="1" customWidth="1"/>
    <col min="10983" max="10983" width="8" style="250" bestFit="1" customWidth="1"/>
    <col min="10984" max="10990" width="8" style="250" customWidth="1"/>
    <col min="10991" max="10991" width="7.42578125" style="250" bestFit="1" customWidth="1"/>
    <col min="10992" max="10992" width="6.7109375" style="250" bestFit="1" customWidth="1"/>
    <col min="10993" max="10993" width="8" style="250" bestFit="1" customWidth="1"/>
    <col min="10994" max="10994" width="8" style="250" customWidth="1"/>
    <col min="10995" max="11230" width="9.140625" style="250"/>
    <col min="11231" max="11231" width="4.28515625" style="250" customWidth="1"/>
    <col min="11232" max="11232" width="9.140625" style="250"/>
    <col min="11233" max="11233" width="71.28515625" style="250" customWidth="1"/>
    <col min="11234" max="11234" width="7.42578125" style="250" bestFit="1" customWidth="1"/>
    <col min="11235" max="11235" width="6.7109375" style="250" bestFit="1" customWidth="1"/>
    <col min="11236" max="11236" width="8" style="250" bestFit="1" customWidth="1"/>
    <col min="11237" max="11237" width="7.42578125" style="250" bestFit="1" customWidth="1"/>
    <col min="11238" max="11238" width="6.7109375" style="250" bestFit="1" customWidth="1"/>
    <col min="11239" max="11239" width="8" style="250" bestFit="1" customWidth="1"/>
    <col min="11240" max="11246" width="8" style="250" customWidth="1"/>
    <col min="11247" max="11247" width="7.42578125" style="250" bestFit="1" customWidth="1"/>
    <col min="11248" max="11248" width="6.7109375" style="250" bestFit="1" customWidth="1"/>
    <col min="11249" max="11249" width="8" style="250" bestFit="1" customWidth="1"/>
    <col min="11250" max="11250" width="8" style="250" customWidth="1"/>
    <col min="11251" max="11486" width="9.140625" style="250"/>
    <col min="11487" max="11487" width="4.28515625" style="250" customWidth="1"/>
    <col min="11488" max="11488" width="9.140625" style="250"/>
    <col min="11489" max="11489" width="71.28515625" style="250" customWidth="1"/>
    <col min="11490" max="11490" width="7.42578125" style="250" bestFit="1" customWidth="1"/>
    <col min="11491" max="11491" width="6.7109375" style="250" bestFit="1" customWidth="1"/>
    <col min="11492" max="11492" width="8" style="250" bestFit="1" customWidth="1"/>
    <col min="11493" max="11493" width="7.42578125" style="250" bestFit="1" customWidth="1"/>
    <col min="11494" max="11494" width="6.7109375" style="250" bestFit="1" customWidth="1"/>
    <col min="11495" max="11495" width="8" style="250" bestFit="1" customWidth="1"/>
    <col min="11496" max="11502" width="8" style="250" customWidth="1"/>
    <col min="11503" max="11503" width="7.42578125" style="250" bestFit="1" customWidth="1"/>
    <col min="11504" max="11504" width="6.7109375" style="250" bestFit="1" customWidth="1"/>
    <col min="11505" max="11505" width="8" style="250" bestFit="1" customWidth="1"/>
    <col min="11506" max="11506" width="8" style="250" customWidth="1"/>
    <col min="11507" max="11742" width="9.140625" style="250"/>
    <col min="11743" max="11743" width="4.28515625" style="250" customWidth="1"/>
    <col min="11744" max="11744" width="9.140625" style="250"/>
    <col min="11745" max="11745" width="71.28515625" style="250" customWidth="1"/>
    <col min="11746" max="11746" width="7.42578125" style="250" bestFit="1" customWidth="1"/>
    <col min="11747" max="11747" width="6.7109375" style="250" bestFit="1" customWidth="1"/>
    <col min="11748" max="11748" width="8" style="250" bestFit="1" customWidth="1"/>
    <col min="11749" max="11749" width="7.42578125" style="250" bestFit="1" customWidth="1"/>
    <col min="11750" max="11750" width="6.7109375" style="250" bestFit="1" customWidth="1"/>
    <col min="11751" max="11751" width="8" style="250" bestFit="1" customWidth="1"/>
    <col min="11752" max="11758" width="8" style="250" customWidth="1"/>
    <col min="11759" max="11759" width="7.42578125" style="250" bestFit="1" customWidth="1"/>
    <col min="11760" max="11760" width="6.7109375" style="250" bestFit="1" customWidth="1"/>
    <col min="11761" max="11761" width="8" style="250" bestFit="1" customWidth="1"/>
    <col min="11762" max="11762" width="8" style="250" customWidth="1"/>
    <col min="11763" max="11998" width="9.140625" style="250"/>
    <col min="11999" max="11999" width="4.28515625" style="250" customWidth="1"/>
    <col min="12000" max="12000" width="9.140625" style="250"/>
    <col min="12001" max="12001" width="71.28515625" style="250" customWidth="1"/>
    <col min="12002" max="12002" width="7.42578125" style="250" bestFit="1" customWidth="1"/>
    <col min="12003" max="12003" width="6.7109375" style="250" bestFit="1" customWidth="1"/>
    <col min="12004" max="12004" width="8" style="250" bestFit="1" customWidth="1"/>
    <col min="12005" max="12005" width="7.42578125" style="250" bestFit="1" customWidth="1"/>
    <col min="12006" max="12006" width="6.7109375" style="250" bestFit="1" customWidth="1"/>
    <col min="12007" max="12007" width="8" style="250" bestFit="1" customWidth="1"/>
    <col min="12008" max="12014" width="8" style="250" customWidth="1"/>
    <col min="12015" max="12015" width="7.42578125" style="250" bestFit="1" customWidth="1"/>
    <col min="12016" max="12016" width="6.7109375" style="250" bestFit="1" customWidth="1"/>
    <col min="12017" max="12017" width="8" style="250" bestFit="1" customWidth="1"/>
    <col min="12018" max="12018" width="8" style="250" customWidth="1"/>
    <col min="12019" max="12254" width="9.140625" style="250"/>
    <col min="12255" max="12255" width="4.28515625" style="250" customWidth="1"/>
    <col min="12256" max="12256" width="9.140625" style="250"/>
    <col min="12257" max="12257" width="71.28515625" style="250" customWidth="1"/>
    <col min="12258" max="12258" width="7.42578125" style="250" bestFit="1" customWidth="1"/>
    <col min="12259" max="12259" width="6.7109375" style="250" bestFit="1" customWidth="1"/>
    <col min="12260" max="12260" width="8" style="250" bestFit="1" customWidth="1"/>
    <col min="12261" max="12261" width="7.42578125" style="250" bestFit="1" customWidth="1"/>
    <col min="12262" max="12262" width="6.7109375" style="250" bestFit="1" customWidth="1"/>
    <col min="12263" max="12263" width="8" style="250" bestFit="1" customWidth="1"/>
    <col min="12264" max="12270" width="8" style="250" customWidth="1"/>
    <col min="12271" max="12271" width="7.42578125" style="250" bestFit="1" customWidth="1"/>
    <col min="12272" max="12272" width="6.7109375" style="250" bestFit="1" customWidth="1"/>
    <col min="12273" max="12273" width="8" style="250" bestFit="1" customWidth="1"/>
    <col min="12274" max="12274" width="8" style="250" customWidth="1"/>
    <col min="12275" max="12510" width="9.140625" style="250"/>
    <col min="12511" max="12511" width="4.28515625" style="250" customWidth="1"/>
    <col min="12512" max="12512" width="9.140625" style="250"/>
    <col min="12513" max="12513" width="71.28515625" style="250" customWidth="1"/>
    <col min="12514" max="12514" width="7.42578125" style="250" bestFit="1" customWidth="1"/>
    <col min="12515" max="12515" width="6.7109375" style="250" bestFit="1" customWidth="1"/>
    <col min="12516" max="12516" width="8" style="250" bestFit="1" customWidth="1"/>
    <col min="12517" max="12517" width="7.42578125" style="250" bestFit="1" customWidth="1"/>
    <col min="12518" max="12518" width="6.7109375" style="250" bestFit="1" customWidth="1"/>
    <col min="12519" max="12519" width="8" style="250" bestFit="1" customWidth="1"/>
    <col min="12520" max="12526" width="8" style="250" customWidth="1"/>
    <col min="12527" max="12527" width="7.42578125" style="250" bestFit="1" customWidth="1"/>
    <col min="12528" max="12528" width="6.7109375" style="250" bestFit="1" customWidth="1"/>
    <col min="12529" max="12529" width="8" style="250" bestFit="1" customWidth="1"/>
    <col min="12530" max="12530" width="8" style="250" customWidth="1"/>
    <col min="12531" max="12766" width="9.140625" style="250"/>
    <col min="12767" max="12767" width="4.28515625" style="250" customWidth="1"/>
    <col min="12768" max="12768" width="9.140625" style="250"/>
    <col min="12769" max="12769" width="71.28515625" style="250" customWidth="1"/>
    <col min="12770" max="12770" width="7.42578125" style="250" bestFit="1" customWidth="1"/>
    <col min="12771" max="12771" width="6.7109375" style="250" bestFit="1" customWidth="1"/>
    <col min="12772" max="12772" width="8" style="250" bestFit="1" customWidth="1"/>
    <col min="12773" max="12773" width="7.42578125" style="250" bestFit="1" customWidth="1"/>
    <col min="12774" max="12774" width="6.7109375" style="250" bestFit="1" customWidth="1"/>
    <col min="12775" max="12775" width="8" style="250" bestFit="1" customWidth="1"/>
    <col min="12776" max="12782" width="8" style="250" customWidth="1"/>
    <col min="12783" max="12783" width="7.42578125" style="250" bestFit="1" customWidth="1"/>
    <col min="12784" max="12784" width="6.7109375" style="250" bestFit="1" customWidth="1"/>
    <col min="12785" max="12785" width="8" style="250" bestFit="1" customWidth="1"/>
    <col min="12786" max="12786" width="8" style="250" customWidth="1"/>
    <col min="12787" max="13022" width="9.140625" style="250"/>
    <col min="13023" max="13023" width="4.28515625" style="250" customWidth="1"/>
    <col min="13024" max="13024" width="9.140625" style="250"/>
    <col min="13025" max="13025" width="71.28515625" style="250" customWidth="1"/>
    <col min="13026" max="13026" width="7.42578125" style="250" bestFit="1" customWidth="1"/>
    <col min="13027" max="13027" width="6.7109375" style="250" bestFit="1" customWidth="1"/>
    <col min="13028" max="13028" width="8" style="250" bestFit="1" customWidth="1"/>
    <col min="13029" max="13029" width="7.42578125" style="250" bestFit="1" customWidth="1"/>
    <col min="13030" max="13030" width="6.7109375" style="250" bestFit="1" customWidth="1"/>
    <col min="13031" max="13031" width="8" style="250" bestFit="1" customWidth="1"/>
    <col min="13032" max="13038" width="8" style="250" customWidth="1"/>
    <col min="13039" max="13039" width="7.42578125" style="250" bestFit="1" customWidth="1"/>
    <col min="13040" max="13040" width="6.7109375" style="250" bestFit="1" customWidth="1"/>
    <col min="13041" max="13041" width="8" style="250" bestFit="1" customWidth="1"/>
    <col min="13042" max="13042" width="8" style="250" customWidth="1"/>
    <col min="13043" max="13278" width="9.140625" style="250"/>
    <col min="13279" max="13279" width="4.28515625" style="250" customWidth="1"/>
    <col min="13280" max="13280" width="9.140625" style="250"/>
    <col min="13281" max="13281" width="71.28515625" style="250" customWidth="1"/>
    <col min="13282" max="13282" width="7.42578125" style="250" bestFit="1" customWidth="1"/>
    <col min="13283" max="13283" width="6.7109375" style="250" bestFit="1" customWidth="1"/>
    <col min="13284" max="13284" width="8" style="250" bestFit="1" customWidth="1"/>
    <col min="13285" max="13285" width="7.42578125" style="250" bestFit="1" customWidth="1"/>
    <col min="13286" max="13286" width="6.7109375" style="250" bestFit="1" customWidth="1"/>
    <col min="13287" max="13287" width="8" style="250" bestFit="1" customWidth="1"/>
    <col min="13288" max="13294" width="8" style="250" customWidth="1"/>
    <col min="13295" max="13295" width="7.42578125" style="250" bestFit="1" customWidth="1"/>
    <col min="13296" max="13296" width="6.7109375" style="250" bestFit="1" customWidth="1"/>
    <col min="13297" max="13297" width="8" style="250" bestFit="1" customWidth="1"/>
    <col min="13298" max="13298" width="8" style="250" customWidth="1"/>
    <col min="13299" max="13534" width="9.140625" style="250"/>
    <col min="13535" max="13535" width="4.28515625" style="250" customWidth="1"/>
    <col min="13536" max="13536" width="9.140625" style="250"/>
    <col min="13537" max="13537" width="71.28515625" style="250" customWidth="1"/>
    <col min="13538" max="13538" width="7.42578125" style="250" bestFit="1" customWidth="1"/>
    <col min="13539" max="13539" width="6.7109375" style="250" bestFit="1" customWidth="1"/>
    <col min="13540" max="13540" width="8" style="250" bestFit="1" customWidth="1"/>
    <col min="13541" max="13541" width="7.42578125" style="250" bestFit="1" customWidth="1"/>
    <col min="13542" max="13542" width="6.7109375" style="250" bestFit="1" customWidth="1"/>
    <col min="13543" max="13543" width="8" style="250" bestFit="1" customWidth="1"/>
    <col min="13544" max="13550" width="8" style="250" customWidth="1"/>
    <col min="13551" max="13551" width="7.42578125" style="250" bestFit="1" customWidth="1"/>
    <col min="13552" max="13552" width="6.7109375" style="250" bestFit="1" customWidth="1"/>
    <col min="13553" max="13553" width="8" style="250" bestFit="1" customWidth="1"/>
    <col min="13554" max="13554" width="8" style="250" customWidth="1"/>
    <col min="13555" max="13790" width="9.140625" style="250"/>
    <col min="13791" max="13791" width="4.28515625" style="250" customWidth="1"/>
    <col min="13792" max="13792" width="9.140625" style="250"/>
    <col min="13793" max="13793" width="71.28515625" style="250" customWidth="1"/>
    <col min="13794" max="13794" width="7.42578125" style="250" bestFit="1" customWidth="1"/>
    <col min="13795" max="13795" width="6.7109375" style="250" bestFit="1" customWidth="1"/>
    <col min="13796" max="13796" width="8" style="250" bestFit="1" customWidth="1"/>
    <col min="13797" max="13797" width="7.42578125" style="250" bestFit="1" customWidth="1"/>
    <col min="13798" max="13798" width="6.7109375" style="250" bestFit="1" customWidth="1"/>
    <col min="13799" max="13799" width="8" style="250" bestFit="1" customWidth="1"/>
    <col min="13800" max="13806" width="8" style="250" customWidth="1"/>
    <col min="13807" max="13807" width="7.42578125" style="250" bestFit="1" customWidth="1"/>
    <col min="13808" max="13808" width="6.7109375" style="250" bestFit="1" customWidth="1"/>
    <col min="13809" max="13809" width="8" style="250" bestFit="1" customWidth="1"/>
    <col min="13810" max="13810" width="8" style="250" customWidth="1"/>
    <col min="13811" max="14046" width="9.140625" style="250"/>
    <col min="14047" max="14047" width="4.28515625" style="250" customWidth="1"/>
    <col min="14048" max="14048" width="9.140625" style="250"/>
    <col min="14049" max="14049" width="71.28515625" style="250" customWidth="1"/>
    <col min="14050" max="14050" width="7.42578125" style="250" bestFit="1" customWidth="1"/>
    <col min="14051" max="14051" width="6.7109375" style="250" bestFit="1" customWidth="1"/>
    <col min="14052" max="14052" width="8" style="250" bestFit="1" customWidth="1"/>
    <col min="14053" max="14053" width="7.42578125" style="250" bestFit="1" customWidth="1"/>
    <col min="14054" max="14054" width="6.7109375" style="250" bestFit="1" customWidth="1"/>
    <col min="14055" max="14055" width="8" style="250" bestFit="1" customWidth="1"/>
    <col min="14056" max="14062" width="8" style="250" customWidth="1"/>
    <col min="14063" max="14063" width="7.42578125" style="250" bestFit="1" customWidth="1"/>
    <col min="14064" max="14064" width="6.7109375" style="250" bestFit="1" customWidth="1"/>
    <col min="14065" max="14065" width="8" style="250" bestFit="1" customWidth="1"/>
    <col min="14066" max="14066" width="8" style="250" customWidth="1"/>
    <col min="14067" max="14302" width="9.140625" style="250"/>
    <col min="14303" max="14303" width="4.28515625" style="250" customWidth="1"/>
    <col min="14304" max="14304" width="9.140625" style="250"/>
    <col min="14305" max="14305" width="71.28515625" style="250" customWidth="1"/>
    <col min="14306" max="14306" width="7.42578125" style="250" bestFit="1" customWidth="1"/>
    <col min="14307" max="14307" width="6.7109375" style="250" bestFit="1" customWidth="1"/>
    <col min="14308" max="14308" width="8" style="250" bestFit="1" customWidth="1"/>
    <col min="14309" max="14309" width="7.42578125" style="250" bestFit="1" customWidth="1"/>
    <col min="14310" max="14310" width="6.7109375" style="250" bestFit="1" customWidth="1"/>
    <col min="14311" max="14311" width="8" style="250" bestFit="1" customWidth="1"/>
    <col min="14312" max="14318" width="8" style="250" customWidth="1"/>
    <col min="14319" max="14319" width="7.42578125" style="250" bestFit="1" customWidth="1"/>
    <col min="14320" max="14320" width="6.7109375" style="250" bestFit="1" customWidth="1"/>
    <col min="14321" max="14321" width="8" style="250" bestFit="1" customWidth="1"/>
    <col min="14322" max="14322" width="8" style="250" customWidth="1"/>
    <col min="14323" max="14558" width="9.140625" style="250"/>
    <col min="14559" max="14559" width="4.28515625" style="250" customWidth="1"/>
    <col min="14560" max="14560" width="9.140625" style="250"/>
    <col min="14561" max="14561" width="71.28515625" style="250" customWidth="1"/>
    <col min="14562" max="14562" width="7.42578125" style="250" bestFit="1" customWidth="1"/>
    <col min="14563" max="14563" width="6.7109375" style="250" bestFit="1" customWidth="1"/>
    <col min="14564" max="14564" width="8" style="250" bestFit="1" customWidth="1"/>
    <col min="14565" max="14565" width="7.42578125" style="250" bestFit="1" customWidth="1"/>
    <col min="14566" max="14566" width="6.7109375" style="250" bestFit="1" customWidth="1"/>
    <col min="14567" max="14567" width="8" style="250" bestFit="1" customWidth="1"/>
    <col min="14568" max="14574" width="8" style="250" customWidth="1"/>
    <col min="14575" max="14575" width="7.42578125" style="250" bestFit="1" customWidth="1"/>
    <col min="14576" max="14576" width="6.7109375" style="250" bestFit="1" customWidth="1"/>
    <col min="14577" max="14577" width="8" style="250" bestFit="1" customWidth="1"/>
    <col min="14578" max="14578" width="8" style="250" customWidth="1"/>
    <col min="14579" max="14814" width="9.140625" style="250"/>
    <col min="14815" max="14815" width="4.28515625" style="250" customWidth="1"/>
    <col min="14816" max="14816" width="9.140625" style="250"/>
    <col min="14817" max="14817" width="71.28515625" style="250" customWidth="1"/>
    <col min="14818" max="14818" width="7.42578125" style="250" bestFit="1" customWidth="1"/>
    <col min="14819" max="14819" width="6.7109375" style="250" bestFit="1" customWidth="1"/>
    <col min="14820" max="14820" width="8" style="250" bestFit="1" customWidth="1"/>
    <col min="14821" max="14821" width="7.42578125" style="250" bestFit="1" customWidth="1"/>
    <col min="14822" max="14822" width="6.7109375" style="250" bestFit="1" customWidth="1"/>
    <col min="14823" max="14823" width="8" style="250" bestFit="1" customWidth="1"/>
    <col min="14824" max="14830" width="8" style="250" customWidth="1"/>
    <col min="14831" max="14831" width="7.42578125" style="250" bestFit="1" customWidth="1"/>
    <col min="14832" max="14832" width="6.7109375" style="250" bestFit="1" customWidth="1"/>
    <col min="14833" max="14833" width="8" style="250" bestFit="1" customWidth="1"/>
    <col min="14834" max="14834" width="8" style="250" customWidth="1"/>
    <col min="14835" max="15070" width="9.140625" style="250"/>
    <col min="15071" max="15071" width="4.28515625" style="250" customWidth="1"/>
    <col min="15072" max="15072" width="9.140625" style="250"/>
    <col min="15073" max="15073" width="71.28515625" style="250" customWidth="1"/>
    <col min="15074" max="15074" width="7.42578125" style="250" bestFit="1" customWidth="1"/>
    <col min="15075" max="15075" width="6.7109375" style="250" bestFit="1" customWidth="1"/>
    <col min="15076" max="15076" width="8" style="250" bestFit="1" customWidth="1"/>
    <col min="15077" max="15077" width="7.42578125" style="250" bestFit="1" customWidth="1"/>
    <col min="15078" max="15078" width="6.7109375" style="250" bestFit="1" customWidth="1"/>
    <col min="15079" max="15079" width="8" style="250" bestFit="1" customWidth="1"/>
    <col min="15080" max="15086" width="8" style="250" customWidth="1"/>
    <col min="15087" max="15087" width="7.42578125" style="250" bestFit="1" customWidth="1"/>
    <col min="15088" max="15088" width="6.7109375" style="250" bestFit="1" customWidth="1"/>
    <col min="15089" max="15089" width="8" style="250" bestFit="1" customWidth="1"/>
    <col min="15090" max="15090" width="8" style="250" customWidth="1"/>
    <col min="15091" max="15326" width="9.140625" style="250"/>
    <col min="15327" max="15327" width="4.28515625" style="250" customWidth="1"/>
    <col min="15328" max="15328" width="9.140625" style="250"/>
    <col min="15329" max="15329" width="71.28515625" style="250" customWidth="1"/>
    <col min="15330" max="15330" width="7.42578125" style="250" bestFit="1" customWidth="1"/>
    <col min="15331" max="15331" width="6.7109375" style="250" bestFit="1" customWidth="1"/>
    <col min="15332" max="15332" width="8" style="250" bestFit="1" customWidth="1"/>
    <col min="15333" max="15333" width="7.42578125" style="250" bestFit="1" customWidth="1"/>
    <col min="15334" max="15334" width="6.7109375" style="250" bestFit="1" customWidth="1"/>
    <col min="15335" max="15335" width="8" style="250" bestFit="1" customWidth="1"/>
    <col min="15336" max="15342" width="8" style="250" customWidth="1"/>
    <col min="15343" max="15343" width="7.42578125" style="250" bestFit="1" customWidth="1"/>
    <col min="15344" max="15344" width="6.7109375" style="250" bestFit="1" customWidth="1"/>
    <col min="15345" max="15345" width="8" style="250" bestFit="1" customWidth="1"/>
    <col min="15346" max="15346" width="8" style="250" customWidth="1"/>
    <col min="15347" max="15582" width="9.140625" style="250"/>
    <col min="15583" max="15583" width="4.28515625" style="250" customWidth="1"/>
    <col min="15584" max="15584" width="9.140625" style="250"/>
    <col min="15585" max="15585" width="71.28515625" style="250" customWidth="1"/>
    <col min="15586" max="15586" width="7.42578125" style="250" bestFit="1" customWidth="1"/>
    <col min="15587" max="15587" width="6.7109375" style="250" bestFit="1" customWidth="1"/>
    <col min="15588" max="15588" width="8" style="250" bestFit="1" customWidth="1"/>
    <col min="15589" max="15589" width="7.42578125" style="250" bestFit="1" customWidth="1"/>
    <col min="15590" max="15590" width="6.7109375" style="250" bestFit="1" customWidth="1"/>
    <col min="15591" max="15591" width="8" style="250" bestFit="1" customWidth="1"/>
    <col min="15592" max="15598" width="8" style="250" customWidth="1"/>
    <col min="15599" max="15599" width="7.42578125" style="250" bestFit="1" customWidth="1"/>
    <col min="15600" max="15600" width="6.7109375" style="250" bestFit="1" customWidth="1"/>
    <col min="15601" max="15601" width="8" style="250" bestFit="1" customWidth="1"/>
    <col min="15602" max="15602" width="8" style="250" customWidth="1"/>
    <col min="15603" max="15838" width="9.140625" style="250"/>
    <col min="15839" max="15839" width="4.28515625" style="250" customWidth="1"/>
    <col min="15840" max="15840" width="9.140625" style="250"/>
    <col min="15841" max="15841" width="71.28515625" style="250" customWidth="1"/>
    <col min="15842" max="15842" width="7.42578125" style="250" bestFit="1" customWidth="1"/>
    <col min="15843" max="15843" width="6.7109375" style="250" bestFit="1" customWidth="1"/>
    <col min="15844" max="15844" width="8" style="250" bestFit="1" customWidth="1"/>
    <col min="15845" max="15845" width="7.42578125" style="250" bestFit="1" customWidth="1"/>
    <col min="15846" max="15846" width="6.7109375" style="250" bestFit="1" customWidth="1"/>
    <col min="15847" max="15847" width="8" style="250" bestFit="1" customWidth="1"/>
    <col min="15848" max="15854" width="8" style="250" customWidth="1"/>
    <col min="15855" max="15855" width="7.42578125" style="250" bestFit="1" customWidth="1"/>
    <col min="15856" max="15856" width="6.7109375" style="250" bestFit="1" customWidth="1"/>
    <col min="15857" max="15857" width="8" style="250" bestFit="1" customWidth="1"/>
    <col min="15858" max="15858" width="8" style="250" customWidth="1"/>
    <col min="15859" max="16094" width="9.140625" style="250"/>
    <col min="16095" max="16095" width="4.28515625" style="250" customWidth="1"/>
    <col min="16096" max="16096" width="9.140625" style="250"/>
    <col min="16097" max="16097" width="71.28515625" style="250" customWidth="1"/>
    <col min="16098" max="16098" width="7.42578125" style="250" bestFit="1" customWidth="1"/>
    <col min="16099" max="16099" width="6.7109375" style="250" bestFit="1" customWidth="1"/>
    <col min="16100" max="16100" width="8" style="250" bestFit="1" customWidth="1"/>
    <col min="16101" max="16101" width="7.42578125" style="250" bestFit="1" customWidth="1"/>
    <col min="16102" max="16102" width="6.7109375" style="250" bestFit="1" customWidth="1"/>
    <col min="16103" max="16103" width="8" style="250" bestFit="1" customWidth="1"/>
    <col min="16104" max="16110" width="8" style="250" customWidth="1"/>
    <col min="16111" max="16111" width="7.42578125" style="250" bestFit="1" customWidth="1"/>
    <col min="16112" max="16112" width="6.7109375" style="250" bestFit="1" customWidth="1"/>
    <col min="16113" max="16113" width="8" style="250" bestFit="1" customWidth="1"/>
    <col min="16114" max="16114" width="8" style="250" customWidth="1"/>
    <col min="16115" max="16384" width="9.140625" style="250"/>
  </cols>
  <sheetData>
    <row r="1" spans="1:28" ht="19.5" customHeight="1">
      <c r="A1" s="1634" t="s">
        <v>690</v>
      </c>
      <c r="B1" s="1634"/>
      <c r="C1" s="1634"/>
      <c r="D1" s="1634"/>
      <c r="E1" s="1634"/>
      <c r="F1" s="1634"/>
      <c r="G1" s="1634"/>
      <c r="H1" s="1634"/>
      <c r="I1" s="1634"/>
      <c r="J1" s="1634"/>
      <c r="K1" s="1634"/>
      <c r="L1" s="1634"/>
      <c r="M1" s="1634"/>
      <c r="N1" s="1634"/>
      <c r="O1" s="1634"/>
      <c r="P1" s="1634"/>
      <c r="Q1" s="1634"/>
      <c r="R1" s="1634"/>
      <c r="S1" s="1634"/>
      <c r="T1" s="1634"/>
      <c r="U1" s="255" t="s">
        <v>540</v>
      </c>
    </row>
    <row r="2" spans="1:28">
      <c r="U2" s="252" t="s">
        <v>188</v>
      </c>
    </row>
    <row r="3" spans="1:28" ht="12.75" customHeight="1">
      <c r="A3" s="1593" t="s">
        <v>13</v>
      </c>
      <c r="B3" s="1593" t="s">
        <v>186</v>
      </c>
      <c r="C3" s="1593" t="s">
        <v>543</v>
      </c>
      <c r="D3" s="1636">
        <v>2019</v>
      </c>
      <c r="E3" s="1593"/>
      <c r="F3" s="1637"/>
      <c r="G3" s="1635">
        <v>2020</v>
      </c>
      <c r="H3" s="1593"/>
      <c r="I3" s="1638"/>
      <c r="J3" s="1636">
        <v>2021</v>
      </c>
      <c r="K3" s="1593"/>
      <c r="L3" s="1637"/>
      <c r="M3" s="1635">
        <v>2022</v>
      </c>
      <c r="N3" s="1593"/>
      <c r="O3" s="1638"/>
      <c r="P3" s="1636">
        <v>2023</v>
      </c>
      <c r="Q3" s="1593"/>
      <c r="R3" s="1637"/>
      <c r="S3" s="1635" t="s">
        <v>688</v>
      </c>
      <c r="T3" s="1593"/>
      <c r="U3" s="1593"/>
      <c r="W3" s="257"/>
      <c r="X3" s="257"/>
      <c r="Y3" s="257"/>
      <c r="Z3" s="257"/>
      <c r="AA3" s="257"/>
      <c r="AB3" s="257"/>
    </row>
    <row r="4" spans="1:28" ht="26.25" thickBot="1">
      <c r="A4" s="1594"/>
      <c r="B4" s="1594"/>
      <c r="C4" s="1594"/>
      <c r="D4" s="515" t="s">
        <v>15</v>
      </c>
      <c r="E4" s="271" t="s">
        <v>19</v>
      </c>
      <c r="F4" s="516" t="s">
        <v>547</v>
      </c>
      <c r="G4" s="517" t="s">
        <v>15</v>
      </c>
      <c r="H4" s="271" t="s">
        <v>19</v>
      </c>
      <c r="I4" s="518" t="s">
        <v>547</v>
      </c>
      <c r="J4" s="515" t="s">
        <v>15</v>
      </c>
      <c r="K4" s="271" t="s">
        <v>19</v>
      </c>
      <c r="L4" s="516" t="s">
        <v>547</v>
      </c>
      <c r="M4" s="517" t="s">
        <v>15</v>
      </c>
      <c r="N4" s="271" t="s">
        <v>19</v>
      </c>
      <c r="O4" s="518" t="s">
        <v>547</v>
      </c>
      <c r="P4" s="515" t="s">
        <v>15</v>
      </c>
      <c r="Q4" s="271" t="s">
        <v>19</v>
      </c>
      <c r="R4" s="516" t="s">
        <v>547</v>
      </c>
      <c r="S4" s="517" t="s">
        <v>15</v>
      </c>
      <c r="T4" s="271" t="s">
        <v>19</v>
      </c>
      <c r="U4" s="519" t="s">
        <v>547</v>
      </c>
    </row>
    <row r="5" spans="1:28" ht="13.5" thickTop="1">
      <c r="A5" s="520" t="s">
        <v>541</v>
      </c>
      <c r="B5" s="269"/>
      <c r="C5" s="269"/>
      <c r="D5" s="521"/>
      <c r="E5" s="270"/>
      <c r="F5" s="522"/>
      <c r="G5" s="523"/>
      <c r="H5" s="270"/>
      <c r="I5" s="524"/>
      <c r="J5" s="521"/>
      <c r="K5" s="270"/>
      <c r="L5" s="522"/>
      <c r="M5" s="523"/>
      <c r="N5" s="270"/>
      <c r="O5" s="524"/>
      <c r="P5" s="521"/>
      <c r="Q5" s="270"/>
      <c r="R5" s="522"/>
      <c r="S5" s="523"/>
      <c r="T5" s="270"/>
      <c r="U5" s="270"/>
    </row>
    <row r="6" spans="1:28" s="532" customFormat="1" ht="45.75" customHeight="1">
      <c r="A6" s="525">
        <v>1</v>
      </c>
      <c r="B6" s="526" t="s">
        <v>187</v>
      </c>
      <c r="C6" s="578" t="s">
        <v>542</v>
      </c>
      <c r="D6" s="527"/>
      <c r="E6" s="528"/>
      <c r="F6" s="529"/>
      <c r="G6" s="530"/>
      <c r="H6" s="528"/>
      <c r="I6" s="531"/>
      <c r="J6" s="527"/>
      <c r="K6" s="528"/>
      <c r="L6" s="529"/>
      <c r="M6" s="530"/>
      <c r="N6" s="528"/>
      <c r="O6" s="531"/>
      <c r="P6" s="527"/>
      <c r="Q6" s="528"/>
      <c r="R6" s="529"/>
      <c r="S6" s="530">
        <f>D6+G6+J6+M6+P6</f>
        <v>0</v>
      </c>
      <c r="T6" s="528">
        <f>E6+H6+K6+N6+Q6</f>
        <v>0</v>
      </c>
      <c r="U6" s="528">
        <f>F6+I6+L6+O6+R6</f>
        <v>0</v>
      </c>
      <c r="Z6" s="533"/>
      <c r="AA6" s="533"/>
      <c r="AB6" s="533"/>
    </row>
    <row r="7" spans="1:28" s="541" customFormat="1" ht="42.75" customHeight="1">
      <c r="A7" s="534">
        <v>2</v>
      </c>
      <c r="B7" s="535" t="s">
        <v>189</v>
      </c>
      <c r="C7" s="579" t="s">
        <v>481</v>
      </c>
      <c r="D7" s="536">
        <f>E7+F7</f>
        <v>270</v>
      </c>
      <c r="E7" s="537">
        <v>270</v>
      </c>
      <c r="F7" s="538"/>
      <c r="G7" s="539"/>
      <c r="H7" s="537"/>
      <c r="I7" s="540"/>
      <c r="J7" s="536"/>
      <c r="K7" s="537"/>
      <c r="L7" s="538"/>
      <c r="M7" s="539"/>
      <c r="N7" s="537"/>
      <c r="O7" s="540"/>
      <c r="P7" s="536"/>
      <c r="Q7" s="537"/>
      <c r="R7" s="538"/>
      <c r="S7" s="539">
        <f t="shared" ref="S7:S17" si="0">D7+G7+J7+M7+P7</f>
        <v>270</v>
      </c>
      <c r="T7" s="537">
        <f t="shared" ref="T7:T22" si="1">E7+H7+K7+N7+Q7</f>
        <v>270</v>
      </c>
      <c r="U7" s="537">
        <f t="shared" ref="U7:U22" si="2">F7+I7+L7+O7+R7</f>
        <v>0</v>
      </c>
    </row>
    <row r="8" spans="1:28" s="532" customFormat="1" ht="54.75" customHeight="1">
      <c r="A8" s="525">
        <v>3</v>
      </c>
      <c r="B8" s="526" t="s">
        <v>187</v>
      </c>
      <c r="C8" s="578" t="s">
        <v>544</v>
      </c>
      <c r="D8" s="527"/>
      <c r="E8" s="528"/>
      <c r="F8" s="529"/>
      <c r="G8" s="530"/>
      <c r="H8" s="528"/>
      <c r="I8" s="531"/>
      <c r="J8" s="527"/>
      <c r="K8" s="528"/>
      <c r="L8" s="529"/>
      <c r="M8" s="530"/>
      <c r="N8" s="528"/>
      <c r="O8" s="531"/>
      <c r="P8" s="527"/>
      <c r="Q8" s="528"/>
      <c r="R8" s="529"/>
      <c r="S8" s="530">
        <f t="shared" si="0"/>
        <v>0</v>
      </c>
      <c r="T8" s="528">
        <f t="shared" si="1"/>
        <v>0</v>
      </c>
      <c r="U8" s="528">
        <f t="shared" si="2"/>
        <v>0</v>
      </c>
    </row>
    <row r="9" spans="1:28" s="541" customFormat="1" ht="45.75" customHeight="1">
      <c r="A9" s="534">
        <v>4</v>
      </c>
      <c r="B9" s="535" t="s">
        <v>189</v>
      </c>
      <c r="C9" s="579" t="s">
        <v>548</v>
      </c>
      <c r="D9" s="536"/>
      <c r="E9" s="537"/>
      <c r="F9" s="538"/>
      <c r="G9" s="539"/>
      <c r="H9" s="537"/>
      <c r="I9" s="540"/>
      <c r="J9" s="536"/>
      <c r="K9" s="537"/>
      <c r="L9" s="538"/>
      <c r="M9" s="539"/>
      <c r="N9" s="537"/>
      <c r="O9" s="540"/>
      <c r="P9" s="536"/>
      <c r="Q9" s="537"/>
      <c r="R9" s="538"/>
      <c r="S9" s="539">
        <f t="shared" si="0"/>
        <v>0</v>
      </c>
      <c r="T9" s="537">
        <f t="shared" si="1"/>
        <v>0</v>
      </c>
      <c r="U9" s="537">
        <f t="shared" si="2"/>
        <v>0</v>
      </c>
    </row>
    <row r="10" spans="1:28" s="532" customFormat="1" ht="37.5" customHeight="1">
      <c r="A10" s="525">
        <v>5</v>
      </c>
      <c r="B10" s="526" t="s">
        <v>187</v>
      </c>
      <c r="C10" s="578" t="s">
        <v>545</v>
      </c>
      <c r="D10" s="527"/>
      <c r="E10" s="528"/>
      <c r="F10" s="529"/>
      <c r="G10" s="530"/>
      <c r="H10" s="528"/>
      <c r="I10" s="531"/>
      <c r="J10" s="527"/>
      <c r="K10" s="528"/>
      <c r="L10" s="529"/>
      <c r="M10" s="530"/>
      <c r="N10" s="528"/>
      <c r="O10" s="531"/>
      <c r="P10" s="527"/>
      <c r="Q10" s="528"/>
      <c r="R10" s="529"/>
      <c r="S10" s="530">
        <f t="shared" si="0"/>
        <v>0</v>
      </c>
      <c r="T10" s="528">
        <f t="shared" si="1"/>
        <v>0</v>
      </c>
      <c r="U10" s="528">
        <f t="shared" si="2"/>
        <v>0</v>
      </c>
    </row>
    <row r="11" spans="1:28" s="541" customFormat="1" ht="33.75" customHeight="1">
      <c r="A11" s="534">
        <v>6</v>
      </c>
      <c r="B11" s="535" t="s">
        <v>189</v>
      </c>
      <c r="C11" s="579" t="s">
        <v>549</v>
      </c>
      <c r="D11" s="536"/>
      <c r="E11" s="537"/>
      <c r="F11" s="538"/>
      <c r="G11" s="539"/>
      <c r="H11" s="537"/>
      <c r="I11" s="540"/>
      <c r="J11" s="536"/>
      <c r="K11" s="537"/>
      <c r="L11" s="538"/>
      <c r="M11" s="539"/>
      <c r="N11" s="537"/>
      <c r="O11" s="540"/>
      <c r="P11" s="536"/>
      <c r="Q11" s="537"/>
      <c r="R11" s="538"/>
      <c r="S11" s="539">
        <f t="shared" si="0"/>
        <v>0</v>
      </c>
      <c r="T11" s="537">
        <f t="shared" si="1"/>
        <v>0</v>
      </c>
      <c r="U11" s="537">
        <f t="shared" si="2"/>
        <v>0</v>
      </c>
    </row>
    <row r="12" spans="1:28" s="532" customFormat="1" ht="44.25" customHeight="1">
      <c r="A12" s="525">
        <v>7</v>
      </c>
      <c r="B12" s="526" t="s">
        <v>187</v>
      </c>
      <c r="C12" s="578" t="s">
        <v>546</v>
      </c>
      <c r="D12" s="527"/>
      <c r="E12" s="528"/>
      <c r="F12" s="529"/>
      <c r="G12" s="530"/>
      <c r="H12" s="528"/>
      <c r="I12" s="531"/>
      <c r="J12" s="527"/>
      <c r="K12" s="528"/>
      <c r="L12" s="529"/>
      <c r="M12" s="530"/>
      <c r="N12" s="528"/>
      <c r="O12" s="531"/>
      <c r="P12" s="527"/>
      <c r="Q12" s="528"/>
      <c r="R12" s="529"/>
      <c r="S12" s="530">
        <f t="shared" si="0"/>
        <v>0</v>
      </c>
      <c r="T12" s="528">
        <f t="shared" si="1"/>
        <v>0</v>
      </c>
      <c r="U12" s="528">
        <f t="shared" si="2"/>
        <v>0</v>
      </c>
    </row>
    <row r="13" spans="1:28" s="541" customFormat="1" ht="43.5" customHeight="1">
      <c r="A13" s="534">
        <v>8</v>
      </c>
      <c r="B13" s="535" t="s">
        <v>189</v>
      </c>
      <c r="C13" s="579" t="s">
        <v>546</v>
      </c>
      <c r="D13" s="536"/>
      <c r="E13" s="537"/>
      <c r="F13" s="538"/>
      <c r="G13" s="539"/>
      <c r="H13" s="537"/>
      <c r="I13" s="540"/>
      <c r="J13" s="536"/>
      <c r="K13" s="537"/>
      <c r="L13" s="538"/>
      <c r="M13" s="539"/>
      <c r="N13" s="537"/>
      <c r="O13" s="540"/>
      <c r="P13" s="536"/>
      <c r="Q13" s="537"/>
      <c r="R13" s="538"/>
      <c r="S13" s="539">
        <f t="shared" si="0"/>
        <v>0</v>
      </c>
      <c r="T13" s="537">
        <f t="shared" si="1"/>
        <v>0</v>
      </c>
      <c r="U13" s="537">
        <f t="shared" si="2"/>
        <v>0</v>
      </c>
    </row>
    <row r="14" spans="1:28" s="532" customFormat="1" ht="24.95" customHeight="1">
      <c r="A14" s="525">
        <v>9</v>
      </c>
      <c r="B14" s="526" t="s">
        <v>187</v>
      </c>
      <c r="C14" s="578" t="s">
        <v>689</v>
      </c>
      <c r="D14" s="527">
        <f>E14+F14</f>
        <v>186</v>
      </c>
      <c r="E14" s="528">
        <v>0</v>
      </c>
      <c r="F14" s="529">
        <v>186</v>
      </c>
      <c r="G14" s="530"/>
      <c r="H14" s="528"/>
      <c r="I14" s="531"/>
      <c r="J14" s="527"/>
      <c r="K14" s="528"/>
      <c r="L14" s="529"/>
      <c r="M14" s="530"/>
      <c r="N14" s="528"/>
      <c r="O14" s="531"/>
      <c r="P14" s="527"/>
      <c r="Q14" s="528"/>
      <c r="R14" s="529"/>
      <c r="S14" s="530">
        <f t="shared" si="0"/>
        <v>186</v>
      </c>
      <c r="T14" s="528">
        <f t="shared" si="1"/>
        <v>0</v>
      </c>
      <c r="U14" s="528">
        <f t="shared" si="2"/>
        <v>186</v>
      </c>
    </row>
    <row r="15" spans="1:28" s="541" customFormat="1" ht="24.95" customHeight="1">
      <c r="A15" s="534">
        <v>10</v>
      </c>
      <c r="B15" s="535" t="s">
        <v>189</v>
      </c>
      <c r="C15" s="579" t="s">
        <v>689</v>
      </c>
      <c r="D15" s="536">
        <f>E15+F15</f>
        <v>1866</v>
      </c>
      <c r="E15" s="537">
        <v>1866</v>
      </c>
      <c r="F15" s="538"/>
      <c r="G15" s="539">
        <f>H15+I15</f>
        <v>725</v>
      </c>
      <c r="H15" s="537">
        <v>725</v>
      </c>
      <c r="I15" s="540"/>
      <c r="J15" s="536">
        <f>K15+L15</f>
        <v>145</v>
      </c>
      <c r="K15" s="537">
        <v>145</v>
      </c>
      <c r="L15" s="538"/>
      <c r="M15" s="539"/>
      <c r="N15" s="537"/>
      <c r="O15" s="540"/>
      <c r="P15" s="536"/>
      <c r="Q15" s="537"/>
      <c r="R15" s="538"/>
      <c r="S15" s="539">
        <f t="shared" si="0"/>
        <v>2736</v>
      </c>
      <c r="T15" s="537">
        <f t="shared" si="1"/>
        <v>2736</v>
      </c>
      <c r="U15" s="537">
        <f t="shared" si="2"/>
        <v>0</v>
      </c>
    </row>
    <row r="16" spans="1:28" s="532" customFormat="1" ht="24.95" customHeight="1">
      <c r="A16" s="525">
        <v>11</v>
      </c>
      <c r="B16" s="526" t="s">
        <v>187</v>
      </c>
      <c r="C16" s="578" t="s">
        <v>143</v>
      </c>
      <c r="D16" s="527">
        <f>E16+F16</f>
        <v>850</v>
      </c>
      <c r="E16" s="528">
        <v>850</v>
      </c>
      <c r="F16" s="529"/>
      <c r="G16" s="527">
        <f>H16+I16</f>
        <v>850</v>
      </c>
      <c r="H16" s="528">
        <v>850</v>
      </c>
      <c r="I16" s="529"/>
      <c r="J16" s="527">
        <f>K16+L16</f>
        <v>850</v>
      </c>
      <c r="K16" s="528">
        <v>850</v>
      </c>
      <c r="L16" s="529"/>
      <c r="M16" s="527">
        <f>N16+O16</f>
        <v>850</v>
      </c>
      <c r="N16" s="528">
        <v>850</v>
      </c>
      <c r="O16" s="529"/>
      <c r="P16" s="527">
        <f>Q16+R16</f>
        <v>850</v>
      </c>
      <c r="Q16" s="528">
        <v>850</v>
      </c>
      <c r="R16" s="529"/>
      <c r="S16" s="530">
        <f t="shared" si="0"/>
        <v>4250</v>
      </c>
      <c r="T16" s="528">
        <f t="shared" si="1"/>
        <v>4250</v>
      </c>
      <c r="U16" s="528">
        <f t="shared" si="2"/>
        <v>0</v>
      </c>
    </row>
    <row r="17" spans="1:25" s="541" customFormat="1" ht="24.95" customHeight="1">
      <c r="A17" s="534">
        <v>12</v>
      </c>
      <c r="B17" s="535" t="s">
        <v>189</v>
      </c>
      <c r="C17" s="579" t="s">
        <v>143</v>
      </c>
      <c r="D17" s="536">
        <f>E17+F17</f>
        <v>850</v>
      </c>
      <c r="E17" s="537">
        <v>850</v>
      </c>
      <c r="F17" s="538"/>
      <c r="G17" s="539">
        <f>H17+I17</f>
        <v>850</v>
      </c>
      <c r="H17" s="537">
        <v>850</v>
      </c>
      <c r="I17" s="540"/>
      <c r="J17" s="536">
        <f>K17+L17</f>
        <v>850</v>
      </c>
      <c r="K17" s="537">
        <v>850</v>
      </c>
      <c r="L17" s="538"/>
      <c r="M17" s="539">
        <f>N17+O17</f>
        <v>850</v>
      </c>
      <c r="N17" s="537">
        <v>850</v>
      </c>
      <c r="O17" s="540"/>
      <c r="P17" s="536">
        <f>Q17+R17</f>
        <v>850</v>
      </c>
      <c r="Q17" s="537">
        <v>850</v>
      </c>
      <c r="R17" s="538"/>
      <c r="S17" s="539">
        <f t="shared" si="0"/>
        <v>4250</v>
      </c>
      <c r="T17" s="537">
        <f t="shared" si="1"/>
        <v>4250</v>
      </c>
      <c r="U17" s="537">
        <f t="shared" si="2"/>
        <v>0</v>
      </c>
    </row>
    <row r="18" spans="1:25" s="551" customFormat="1" ht="24.95" customHeight="1">
      <c r="A18" s="525">
        <v>13</v>
      </c>
      <c r="B18" s="545" t="s">
        <v>187</v>
      </c>
      <c r="C18" s="580" t="s">
        <v>550</v>
      </c>
      <c r="D18" s="546">
        <f t="shared" ref="D18:R18" si="3">D6+D8+D10+D12+D14+D16</f>
        <v>1036</v>
      </c>
      <c r="E18" s="547">
        <f t="shared" si="3"/>
        <v>850</v>
      </c>
      <c r="F18" s="548">
        <f t="shared" si="3"/>
        <v>186</v>
      </c>
      <c r="G18" s="549">
        <f t="shared" si="3"/>
        <v>850</v>
      </c>
      <c r="H18" s="547">
        <f t="shared" si="3"/>
        <v>850</v>
      </c>
      <c r="I18" s="550">
        <f t="shared" si="3"/>
        <v>0</v>
      </c>
      <c r="J18" s="546">
        <f t="shared" si="3"/>
        <v>850</v>
      </c>
      <c r="K18" s="547">
        <f t="shared" si="3"/>
        <v>850</v>
      </c>
      <c r="L18" s="548">
        <f t="shared" si="3"/>
        <v>0</v>
      </c>
      <c r="M18" s="549">
        <f t="shared" si="3"/>
        <v>850</v>
      </c>
      <c r="N18" s="547">
        <f t="shared" si="3"/>
        <v>850</v>
      </c>
      <c r="O18" s="550">
        <f t="shared" si="3"/>
        <v>0</v>
      </c>
      <c r="P18" s="546">
        <f t="shared" si="3"/>
        <v>850</v>
      </c>
      <c r="Q18" s="547">
        <f t="shared" si="3"/>
        <v>850</v>
      </c>
      <c r="R18" s="548">
        <f t="shared" si="3"/>
        <v>0</v>
      </c>
      <c r="S18" s="549">
        <f>S6+S8+S10+S12+S14+S16</f>
        <v>4436</v>
      </c>
      <c r="T18" s="528">
        <f t="shared" si="1"/>
        <v>4250</v>
      </c>
      <c r="U18" s="528">
        <f t="shared" si="2"/>
        <v>186</v>
      </c>
    </row>
    <row r="19" spans="1:25" s="541" customFormat="1" ht="24.95" customHeight="1" thickBot="1">
      <c r="A19" s="552">
        <v>14</v>
      </c>
      <c r="B19" s="553" t="s">
        <v>189</v>
      </c>
      <c r="C19" s="581" t="s">
        <v>551</v>
      </c>
      <c r="D19" s="554">
        <f t="shared" ref="D19:S19" si="4">D7+D9+D11+D13+D15+D17</f>
        <v>2986</v>
      </c>
      <c r="E19" s="555">
        <f t="shared" si="4"/>
        <v>2986</v>
      </c>
      <c r="F19" s="556">
        <f t="shared" si="4"/>
        <v>0</v>
      </c>
      <c r="G19" s="557">
        <f t="shared" si="4"/>
        <v>1575</v>
      </c>
      <c r="H19" s="555">
        <f t="shared" si="4"/>
        <v>1575</v>
      </c>
      <c r="I19" s="558">
        <f t="shared" si="4"/>
        <v>0</v>
      </c>
      <c r="J19" s="554">
        <f t="shared" si="4"/>
        <v>995</v>
      </c>
      <c r="K19" s="555">
        <f t="shared" si="4"/>
        <v>995</v>
      </c>
      <c r="L19" s="556">
        <f t="shared" si="4"/>
        <v>0</v>
      </c>
      <c r="M19" s="557">
        <f t="shared" si="4"/>
        <v>850</v>
      </c>
      <c r="N19" s="555">
        <f t="shared" si="4"/>
        <v>850</v>
      </c>
      <c r="O19" s="558">
        <f t="shared" si="4"/>
        <v>0</v>
      </c>
      <c r="P19" s="554">
        <f t="shared" si="4"/>
        <v>850</v>
      </c>
      <c r="Q19" s="555">
        <f t="shared" si="4"/>
        <v>850</v>
      </c>
      <c r="R19" s="556">
        <f t="shared" si="4"/>
        <v>0</v>
      </c>
      <c r="S19" s="557">
        <f t="shared" si="4"/>
        <v>7256</v>
      </c>
      <c r="T19" s="537">
        <f t="shared" si="1"/>
        <v>7256</v>
      </c>
      <c r="U19" s="537">
        <f t="shared" si="2"/>
        <v>0</v>
      </c>
    </row>
    <row r="20" spans="1:25" s="541" customFormat="1" ht="24.95" customHeight="1" thickTop="1">
      <c r="A20" s="559" t="s">
        <v>534</v>
      </c>
      <c r="B20" s="560" t="s">
        <v>535</v>
      </c>
      <c r="C20" s="582" t="s">
        <v>536</v>
      </c>
      <c r="D20" s="561">
        <f t="shared" ref="D20:R20" si="5">D19-D18</f>
        <v>1950</v>
      </c>
      <c r="E20" s="562">
        <f t="shared" si="5"/>
        <v>2136</v>
      </c>
      <c r="F20" s="563">
        <f t="shared" si="5"/>
        <v>-186</v>
      </c>
      <c r="G20" s="564">
        <f t="shared" si="5"/>
        <v>725</v>
      </c>
      <c r="H20" s="562">
        <f t="shared" si="5"/>
        <v>725</v>
      </c>
      <c r="I20" s="565">
        <f t="shared" si="5"/>
        <v>0</v>
      </c>
      <c r="J20" s="561">
        <f t="shared" si="5"/>
        <v>145</v>
      </c>
      <c r="K20" s="562">
        <f t="shared" si="5"/>
        <v>145</v>
      </c>
      <c r="L20" s="563">
        <f t="shared" si="5"/>
        <v>0</v>
      </c>
      <c r="M20" s="564">
        <f t="shared" si="5"/>
        <v>0</v>
      </c>
      <c r="N20" s="562">
        <f t="shared" si="5"/>
        <v>0</v>
      </c>
      <c r="O20" s="565">
        <f t="shared" si="5"/>
        <v>0</v>
      </c>
      <c r="P20" s="561">
        <f>P19-P18</f>
        <v>0</v>
      </c>
      <c r="Q20" s="562">
        <f t="shared" si="5"/>
        <v>0</v>
      </c>
      <c r="R20" s="563">
        <f t="shared" si="5"/>
        <v>0</v>
      </c>
      <c r="S20" s="564">
        <f>D20+G20+J20+M20+P20</f>
        <v>2820</v>
      </c>
      <c r="T20" s="537">
        <f t="shared" si="1"/>
        <v>3006</v>
      </c>
      <c r="U20" s="537">
        <f t="shared" si="2"/>
        <v>-186</v>
      </c>
      <c r="W20" s="566">
        <f>S19-S18</f>
        <v>2820</v>
      </c>
      <c r="X20" s="566">
        <f t="shared" ref="X20:Y20" si="6">T19-T18</f>
        <v>3006</v>
      </c>
      <c r="Y20" s="566">
        <f t="shared" si="6"/>
        <v>-186</v>
      </c>
    </row>
    <row r="21" spans="1:25" s="541" customFormat="1" ht="28.5" customHeight="1">
      <c r="A21" s="534" t="s">
        <v>537</v>
      </c>
      <c r="B21" s="572" t="s">
        <v>535</v>
      </c>
      <c r="C21" s="583" t="s">
        <v>552</v>
      </c>
      <c r="D21" s="576">
        <f t="shared" ref="D21:S21" si="7">D15-D14</f>
        <v>1680</v>
      </c>
      <c r="E21" s="574">
        <f t="shared" si="7"/>
        <v>1866</v>
      </c>
      <c r="F21" s="577">
        <f t="shared" si="7"/>
        <v>-186</v>
      </c>
      <c r="G21" s="573">
        <f t="shared" si="7"/>
        <v>725</v>
      </c>
      <c r="H21" s="574">
        <f t="shared" si="7"/>
        <v>725</v>
      </c>
      <c r="I21" s="575">
        <f t="shared" si="7"/>
        <v>0</v>
      </c>
      <c r="J21" s="576">
        <f t="shared" si="7"/>
        <v>145</v>
      </c>
      <c r="K21" s="574">
        <f t="shared" si="7"/>
        <v>145</v>
      </c>
      <c r="L21" s="577">
        <f t="shared" si="7"/>
        <v>0</v>
      </c>
      <c r="M21" s="573">
        <f t="shared" si="7"/>
        <v>0</v>
      </c>
      <c r="N21" s="574">
        <f t="shared" si="7"/>
        <v>0</v>
      </c>
      <c r="O21" s="575">
        <f t="shared" si="7"/>
        <v>0</v>
      </c>
      <c r="P21" s="576">
        <f t="shared" si="7"/>
        <v>0</v>
      </c>
      <c r="Q21" s="574">
        <f t="shared" si="7"/>
        <v>0</v>
      </c>
      <c r="R21" s="577">
        <f t="shared" si="7"/>
        <v>0</v>
      </c>
      <c r="S21" s="573">
        <f t="shared" si="7"/>
        <v>2550</v>
      </c>
      <c r="T21" s="537">
        <f t="shared" si="1"/>
        <v>2736</v>
      </c>
      <c r="U21" s="537">
        <f t="shared" si="2"/>
        <v>-186</v>
      </c>
      <c r="W21" s="566">
        <f>(S19-S7)-(S18-S6)</f>
        <v>2550</v>
      </c>
      <c r="X21" s="566">
        <f>(T19-T7)-(T18-T6)</f>
        <v>2736</v>
      </c>
      <c r="Y21" s="566">
        <f>(U19-U7)-(U18-U6)</f>
        <v>-186</v>
      </c>
    </row>
    <row r="22" spans="1:25" s="541" customFormat="1">
      <c r="A22" s="534" t="s">
        <v>539</v>
      </c>
      <c r="B22" s="572" t="s">
        <v>535</v>
      </c>
      <c r="C22" s="583" t="s">
        <v>553</v>
      </c>
      <c r="D22" s="576">
        <f t="shared" ref="D22:S22" si="8">SUM(D9,D11,D13)-SUM(D8,D10,D12)</f>
        <v>0</v>
      </c>
      <c r="E22" s="574">
        <f t="shared" si="8"/>
        <v>0</v>
      </c>
      <c r="F22" s="577">
        <f t="shared" si="8"/>
        <v>0</v>
      </c>
      <c r="G22" s="573">
        <f t="shared" si="8"/>
        <v>0</v>
      </c>
      <c r="H22" s="574">
        <f t="shared" si="8"/>
        <v>0</v>
      </c>
      <c r="I22" s="575">
        <f t="shared" si="8"/>
        <v>0</v>
      </c>
      <c r="J22" s="576">
        <f t="shared" si="8"/>
        <v>0</v>
      </c>
      <c r="K22" s="574">
        <f t="shared" si="8"/>
        <v>0</v>
      </c>
      <c r="L22" s="577">
        <f t="shared" si="8"/>
        <v>0</v>
      </c>
      <c r="M22" s="573">
        <f t="shared" si="8"/>
        <v>0</v>
      </c>
      <c r="N22" s="574">
        <f t="shared" si="8"/>
        <v>0</v>
      </c>
      <c r="O22" s="575">
        <f t="shared" si="8"/>
        <v>0</v>
      </c>
      <c r="P22" s="576">
        <f t="shared" si="8"/>
        <v>0</v>
      </c>
      <c r="Q22" s="574">
        <f t="shared" si="8"/>
        <v>0</v>
      </c>
      <c r="R22" s="577">
        <f t="shared" si="8"/>
        <v>0</v>
      </c>
      <c r="S22" s="573">
        <f t="shared" si="8"/>
        <v>0</v>
      </c>
      <c r="T22" s="537">
        <f t="shared" si="1"/>
        <v>0</v>
      </c>
      <c r="U22" s="537">
        <f t="shared" si="2"/>
        <v>0</v>
      </c>
      <c r="W22" s="566"/>
      <c r="X22" s="566"/>
      <c r="Y22" s="566"/>
    </row>
    <row r="24" spans="1:25" s="252" customFormat="1"/>
  </sheetData>
  <mergeCells count="10">
    <mergeCell ref="A1:T1"/>
    <mergeCell ref="S3:U3"/>
    <mergeCell ref="D3:F3"/>
    <mergeCell ref="G3:I3"/>
    <mergeCell ref="J3:L3"/>
    <mergeCell ref="M3:O3"/>
    <mergeCell ref="P3:R3"/>
    <mergeCell ref="A3:A4"/>
    <mergeCell ref="B3:B4"/>
    <mergeCell ref="C3:C4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6"/>
  <sheetViews>
    <sheetView workbookViewId="0">
      <pane xSplit="1" ySplit="3" topLeftCell="B13" activePane="bottomRight" state="frozen"/>
      <selection activeCell="S18" sqref="S18"/>
      <selection pane="topRight" activeCell="S18" sqref="S18"/>
      <selection pane="bottomLeft" activeCell="S18" sqref="S18"/>
      <selection pane="bottomRight" activeCell="S18" sqref="S18"/>
    </sheetView>
  </sheetViews>
  <sheetFormatPr defaultRowHeight="15"/>
  <cols>
    <col min="1" max="1" width="4.85546875" style="1392" customWidth="1"/>
    <col min="2" max="2" width="67.42578125" style="1392" customWidth="1"/>
    <col min="3" max="3" width="4.85546875" style="1392" customWidth="1"/>
    <col min="4" max="4" width="9.5703125" style="1392" customWidth="1"/>
    <col min="5" max="5" width="11.28515625" style="1392" customWidth="1"/>
    <col min="6" max="6" width="5" style="1392" customWidth="1"/>
    <col min="7" max="7" width="9.140625" style="1392"/>
    <col min="8" max="8" width="12" style="1392" customWidth="1"/>
    <col min="9" max="9" width="62.85546875" style="1392" customWidth="1"/>
    <col min="10" max="16384" width="9.140625" style="1392"/>
  </cols>
  <sheetData>
    <row r="1" spans="2:9">
      <c r="B1" s="1391" t="s">
        <v>1004</v>
      </c>
      <c r="H1" s="1391" t="s">
        <v>188</v>
      </c>
    </row>
    <row r="2" spans="2:9">
      <c r="B2" s="1643" t="s">
        <v>976</v>
      </c>
      <c r="C2" s="1643" t="s">
        <v>973</v>
      </c>
      <c r="D2" s="1643"/>
      <c r="E2" s="1643"/>
      <c r="F2" s="1640" t="s">
        <v>991</v>
      </c>
      <c r="G2" s="1641"/>
      <c r="H2" s="1642"/>
      <c r="I2" s="1393"/>
    </row>
    <row r="3" spans="2:9" ht="45">
      <c r="B3" s="1644"/>
      <c r="C3" s="1394" t="s">
        <v>13</v>
      </c>
      <c r="D3" s="1395" t="s">
        <v>974</v>
      </c>
      <c r="E3" s="1395" t="s">
        <v>975</v>
      </c>
      <c r="F3" s="1416" t="s">
        <v>13</v>
      </c>
      <c r="G3" s="1417" t="s">
        <v>974</v>
      </c>
      <c r="H3" s="1417" t="s">
        <v>975</v>
      </c>
      <c r="I3" s="1416" t="s">
        <v>976</v>
      </c>
    </row>
    <row r="4" spans="2:9" ht="45">
      <c r="B4" s="1396" t="s">
        <v>983</v>
      </c>
      <c r="C4" s="1397">
        <v>1</v>
      </c>
      <c r="D4" s="1398">
        <v>846</v>
      </c>
      <c r="E4" s="1398">
        <v>5120</v>
      </c>
      <c r="F4" s="1418">
        <v>1</v>
      </c>
      <c r="G4" s="1419">
        <v>5936</v>
      </c>
      <c r="H4" s="1419">
        <v>420</v>
      </c>
      <c r="I4" s="1420" t="s">
        <v>983</v>
      </c>
    </row>
    <row r="5" spans="2:9">
      <c r="B5" s="1396" t="s">
        <v>691</v>
      </c>
      <c r="C5" s="1397">
        <v>2</v>
      </c>
      <c r="D5" s="1398"/>
      <c r="E5" s="1398">
        <v>3500</v>
      </c>
      <c r="F5" s="1418">
        <v>2</v>
      </c>
      <c r="G5" s="1419">
        <v>3101</v>
      </c>
      <c r="H5" s="1419">
        <v>1150</v>
      </c>
      <c r="I5" s="1420" t="s">
        <v>691</v>
      </c>
    </row>
    <row r="6" spans="2:9">
      <c r="B6" s="1396" t="s">
        <v>648</v>
      </c>
      <c r="C6" s="1397">
        <v>3</v>
      </c>
      <c r="D6" s="1398">
        <v>362</v>
      </c>
      <c r="E6" s="1398">
        <v>16977</v>
      </c>
      <c r="F6" s="1418">
        <v>3</v>
      </c>
      <c r="G6" s="1419">
        <v>1352</v>
      </c>
      <c r="H6" s="1419">
        <v>16640</v>
      </c>
      <c r="I6" s="1420" t="s">
        <v>648</v>
      </c>
    </row>
    <row r="7" spans="2:9" ht="45">
      <c r="B7" s="1396" t="s">
        <v>780</v>
      </c>
      <c r="C7" s="1397" t="s">
        <v>770</v>
      </c>
      <c r="D7" s="1398"/>
      <c r="E7" s="1398">
        <v>250</v>
      </c>
      <c r="F7" s="1418" t="s">
        <v>770</v>
      </c>
      <c r="G7" s="1419"/>
      <c r="H7" s="1419">
        <v>260</v>
      </c>
      <c r="I7" s="1420" t="s">
        <v>780</v>
      </c>
    </row>
    <row r="8" spans="2:9" ht="30">
      <c r="B8" s="1396" t="s">
        <v>607</v>
      </c>
      <c r="C8" s="1397" t="s">
        <v>771</v>
      </c>
      <c r="D8" s="1398"/>
      <c r="E8" s="1398">
        <v>1300</v>
      </c>
      <c r="F8" s="1418" t="s">
        <v>771</v>
      </c>
      <c r="G8" s="1419"/>
      <c r="H8" s="1419">
        <v>1670</v>
      </c>
      <c r="I8" s="1420" t="s">
        <v>607</v>
      </c>
    </row>
    <row r="9" spans="2:9" ht="30">
      <c r="B9" s="1396" t="s">
        <v>978</v>
      </c>
      <c r="C9" s="1397" t="s">
        <v>772</v>
      </c>
      <c r="D9" s="1398">
        <v>300</v>
      </c>
      <c r="E9" s="1398">
        <v>650</v>
      </c>
      <c r="F9" s="1418"/>
      <c r="G9" s="1419"/>
      <c r="H9" s="1419"/>
      <c r="I9" s="1420"/>
    </row>
    <row r="10" spans="2:9" ht="45">
      <c r="B10" s="1396" t="s">
        <v>795</v>
      </c>
      <c r="C10" s="1397" t="s">
        <v>773</v>
      </c>
      <c r="D10" s="1398"/>
      <c r="E10" s="1399">
        <v>472</v>
      </c>
      <c r="F10" s="1418" t="s">
        <v>772</v>
      </c>
      <c r="G10" s="1419"/>
      <c r="H10" s="1399">
        <v>940</v>
      </c>
      <c r="I10" s="1420" t="s">
        <v>984</v>
      </c>
    </row>
    <row r="11" spans="2:9" ht="45">
      <c r="B11" s="1396" t="s">
        <v>985</v>
      </c>
      <c r="C11" s="1397" t="s">
        <v>774</v>
      </c>
      <c r="D11" s="1398"/>
      <c r="E11" s="1398">
        <v>380</v>
      </c>
      <c r="F11" s="1418"/>
      <c r="G11" s="1419"/>
      <c r="H11" s="1419"/>
      <c r="I11" s="1420"/>
    </row>
    <row r="12" spans="2:9" ht="30">
      <c r="B12" s="1396" t="s">
        <v>986</v>
      </c>
      <c r="C12" s="1397" t="s">
        <v>775</v>
      </c>
      <c r="D12" s="1398"/>
      <c r="E12" s="1398">
        <v>2000</v>
      </c>
      <c r="F12" s="1418" t="s">
        <v>773</v>
      </c>
      <c r="G12" s="1419">
        <v>556</v>
      </c>
      <c r="H12" s="1419">
        <v>1640</v>
      </c>
      <c r="I12" s="1420" t="s">
        <v>992</v>
      </c>
    </row>
    <row r="13" spans="2:9" ht="45">
      <c r="B13" s="1396" t="s">
        <v>994</v>
      </c>
      <c r="C13" s="1397" t="s">
        <v>776</v>
      </c>
      <c r="D13" s="1398"/>
      <c r="E13" s="1398">
        <v>1300</v>
      </c>
      <c r="F13" s="1418" t="s">
        <v>774</v>
      </c>
      <c r="G13" s="1419"/>
      <c r="H13" s="1419">
        <v>1280</v>
      </c>
      <c r="I13" s="1420" t="s">
        <v>993</v>
      </c>
    </row>
    <row r="14" spans="2:9" ht="30">
      <c r="B14" s="1396" t="s">
        <v>987</v>
      </c>
      <c r="C14" s="1397" t="s">
        <v>777</v>
      </c>
      <c r="D14" s="1398"/>
      <c r="E14" s="1398">
        <v>130</v>
      </c>
      <c r="F14" s="1418"/>
      <c r="G14" s="1419"/>
      <c r="H14" s="1419"/>
      <c r="I14" s="1420"/>
    </row>
    <row r="15" spans="2:9" ht="30">
      <c r="B15" s="1396"/>
      <c r="C15" s="1397"/>
      <c r="D15" s="1398"/>
      <c r="E15" s="1398"/>
      <c r="F15" s="1418" t="s">
        <v>775</v>
      </c>
      <c r="G15" s="1419"/>
      <c r="H15" s="1419">
        <v>750</v>
      </c>
      <c r="I15" s="1420" t="s">
        <v>934</v>
      </c>
    </row>
    <row r="16" spans="2:9" ht="30">
      <c r="B16" s="1396" t="s">
        <v>798</v>
      </c>
      <c r="C16" s="1397" t="s">
        <v>778</v>
      </c>
      <c r="D16" s="1398"/>
      <c r="E16" s="1399">
        <v>290</v>
      </c>
      <c r="F16" s="1418" t="s">
        <v>776</v>
      </c>
      <c r="G16" s="1419"/>
      <c r="H16" s="1399">
        <v>580</v>
      </c>
      <c r="I16" s="1420" t="s">
        <v>798</v>
      </c>
    </row>
    <row r="17" spans="2:9" ht="30">
      <c r="B17" s="1396"/>
      <c r="C17" s="1397"/>
      <c r="D17" s="1398"/>
      <c r="E17" s="1398"/>
      <c r="F17" s="1418" t="s">
        <v>777</v>
      </c>
      <c r="G17" s="1419"/>
      <c r="H17" s="1419">
        <v>1000</v>
      </c>
      <c r="I17" s="1420" t="s">
        <v>935</v>
      </c>
    </row>
    <row r="18" spans="2:9" ht="30">
      <c r="B18" s="1396" t="s">
        <v>980</v>
      </c>
      <c r="C18" s="1397" t="s">
        <v>779</v>
      </c>
      <c r="D18" s="1398"/>
      <c r="E18" s="1398">
        <v>60</v>
      </c>
      <c r="F18" s="1418" t="s">
        <v>778</v>
      </c>
      <c r="G18" s="1419"/>
      <c r="H18" s="1419">
        <v>700</v>
      </c>
      <c r="I18" s="1420" t="s">
        <v>995</v>
      </c>
    </row>
    <row r="19" spans="2:9" ht="30">
      <c r="B19" s="1396" t="s">
        <v>988</v>
      </c>
      <c r="C19" s="1397" t="s">
        <v>785</v>
      </c>
      <c r="D19" s="1398"/>
      <c r="E19" s="1399">
        <v>45</v>
      </c>
      <c r="F19" s="1418" t="s">
        <v>779</v>
      </c>
      <c r="G19" s="1419"/>
      <c r="H19" s="1399">
        <v>170</v>
      </c>
      <c r="I19" s="1420" t="s">
        <v>996</v>
      </c>
    </row>
    <row r="20" spans="2:9">
      <c r="B20" s="1396" t="s">
        <v>989</v>
      </c>
      <c r="C20" s="1397" t="s">
        <v>791</v>
      </c>
      <c r="D20" s="1398"/>
      <c r="E20" s="1398">
        <v>1370</v>
      </c>
      <c r="F20" s="1418"/>
      <c r="G20" s="1419"/>
      <c r="H20" s="1419"/>
      <c r="I20" s="1420"/>
    </row>
    <row r="21" spans="2:9" ht="90">
      <c r="B21" s="1396" t="s">
        <v>977</v>
      </c>
      <c r="C21" s="1397" t="s">
        <v>796</v>
      </c>
      <c r="D21" s="1398"/>
      <c r="E21" s="1398">
        <v>2000</v>
      </c>
      <c r="F21" s="1418" t="s">
        <v>785</v>
      </c>
      <c r="G21" s="1419"/>
      <c r="H21" s="1419">
        <v>3760</v>
      </c>
      <c r="I21" s="1420" t="s">
        <v>990</v>
      </c>
    </row>
    <row r="22" spans="2:9" ht="30">
      <c r="B22" s="1396" t="s">
        <v>649</v>
      </c>
      <c r="C22" s="1397" t="s">
        <v>797</v>
      </c>
      <c r="D22" s="1398"/>
      <c r="E22" s="1399">
        <v>250</v>
      </c>
      <c r="F22" s="1418" t="s">
        <v>791</v>
      </c>
      <c r="G22" s="1419"/>
      <c r="H22" s="1399">
        <v>770</v>
      </c>
      <c r="I22" s="1420" t="s">
        <v>649</v>
      </c>
    </row>
    <row r="23" spans="2:9" ht="30">
      <c r="B23" s="1396" t="s">
        <v>724</v>
      </c>
      <c r="C23" s="1397" t="s">
        <v>981</v>
      </c>
      <c r="D23" s="1399">
        <v>62</v>
      </c>
      <c r="E23" s="1398">
        <v>800</v>
      </c>
      <c r="F23" s="1418" t="s">
        <v>796</v>
      </c>
      <c r="G23" s="1419"/>
      <c r="H23" s="1419">
        <v>820</v>
      </c>
      <c r="I23" s="1420" t="s">
        <v>997</v>
      </c>
    </row>
    <row r="24" spans="2:9" ht="30">
      <c r="B24" s="1396" t="s">
        <v>712</v>
      </c>
      <c r="C24" s="1397" t="s">
        <v>979</v>
      </c>
      <c r="D24" s="1398"/>
      <c r="E24" s="1398">
        <v>5680</v>
      </c>
      <c r="F24" s="1418" t="s">
        <v>797</v>
      </c>
      <c r="G24" s="1419">
        <v>796</v>
      </c>
      <c r="H24" s="1419">
        <v>2300</v>
      </c>
      <c r="I24" s="1420" t="s">
        <v>712</v>
      </c>
    </row>
    <row r="25" spans="2:9">
      <c r="B25" s="1396" t="s">
        <v>982</v>
      </c>
      <c r="C25" s="1397">
        <v>4</v>
      </c>
      <c r="D25" s="1398"/>
      <c r="E25" s="1398">
        <v>250</v>
      </c>
      <c r="F25" s="1418"/>
      <c r="G25" s="1419"/>
      <c r="H25" s="1419"/>
      <c r="I25" s="1420"/>
    </row>
    <row r="26" spans="2:9">
      <c r="B26" s="1400" t="s">
        <v>998</v>
      </c>
      <c r="C26" s="1401"/>
      <c r="D26" s="1402">
        <f>D4+D5+D7+D8+D9+D10+D11+D12+D13+D14+D16+D18+D19+D20+D21+D22+D23+D24+D25</f>
        <v>1208</v>
      </c>
      <c r="E26" s="1402">
        <f>E4+E5+E7+E8+E9+E10+E11+E12+E13+E14+E16+E18+E19+E20+E21+E22+E23+E24+E25</f>
        <v>25847</v>
      </c>
      <c r="F26" s="1401"/>
      <c r="G26" s="1402">
        <f>G4+G5+G7+G8+G9+G10+G11+G12+G13+G14+G15+G16+G17+G18+G19+G20+G21+G22+G23+G24+G25</f>
        <v>10389</v>
      </c>
      <c r="H26" s="1402">
        <f>H4+H5+H7+H8+H9+H10+H11+H12+H13+H14+H15+H16+H17+H18+H19+H20+H21+H22+H23+H24+H25</f>
        <v>18210</v>
      </c>
      <c r="I26" s="1400" t="s">
        <v>998</v>
      </c>
    </row>
    <row r="27" spans="2:9">
      <c r="B27" s="1403"/>
      <c r="C27" s="1404"/>
      <c r="D27" s="1405"/>
      <c r="E27" s="1406"/>
      <c r="F27" s="1404"/>
      <c r="G27" s="1406"/>
      <c r="H27" s="1406"/>
      <c r="I27" s="1405"/>
    </row>
    <row r="28" spans="2:9">
      <c r="B28" s="1403"/>
      <c r="C28" s="1404"/>
      <c r="D28" s="1405"/>
      <c r="E28" s="1406"/>
      <c r="F28" s="1404"/>
      <c r="G28" s="1406"/>
      <c r="H28" s="1406"/>
      <c r="I28" s="1405"/>
    </row>
    <row r="29" spans="2:9">
      <c r="B29" s="1403"/>
      <c r="C29" s="1404"/>
      <c r="D29" s="1405"/>
      <c r="E29" s="1406"/>
      <c r="F29" s="1404"/>
      <c r="G29" s="1406"/>
      <c r="H29" s="1406"/>
      <c r="I29" s="1405"/>
    </row>
    <row r="30" spans="2:9">
      <c r="B30" s="1403"/>
      <c r="C30" s="1404"/>
      <c r="D30" s="1405"/>
      <c r="E30" s="1406"/>
      <c r="F30" s="1404"/>
      <c r="G30" s="1406"/>
      <c r="H30" s="1406"/>
      <c r="I30" s="1403"/>
    </row>
    <row r="31" spans="2:9">
      <c r="B31" s="1403"/>
      <c r="C31" s="1404"/>
      <c r="D31" s="1405"/>
      <c r="E31" s="1406"/>
      <c r="F31" s="1404"/>
      <c r="G31" s="1406"/>
      <c r="H31" s="1406"/>
      <c r="I31" s="1403"/>
    </row>
    <row r="32" spans="2:9">
      <c r="B32" s="1403"/>
      <c r="C32" s="1404"/>
      <c r="D32" s="1405"/>
      <c r="E32" s="1406"/>
      <c r="F32" s="1404"/>
      <c r="G32" s="1406"/>
      <c r="H32" s="1406"/>
      <c r="I32" s="1403"/>
    </row>
    <row r="33" spans="2:9">
      <c r="B33" s="1403"/>
      <c r="C33" s="1404"/>
      <c r="D33" s="1406"/>
      <c r="E33" s="1406"/>
      <c r="F33" s="1404"/>
      <c r="G33" s="1406"/>
      <c r="H33" s="1406"/>
      <c r="I33" s="1403"/>
    </row>
    <row r="34" spans="2:9">
      <c r="B34" s="1403"/>
      <c r="C34" s="1404"/>
      <c r="D34" s="1406"/>
      <c r="E34" s="1406"/>
      <c r="F34" s="1404"/>
      <c r="G34" s="1406"/>
      <c r="H34" s="1406"/>
      <c r="I34" s="1403"/>
    </row>
    <row r="35" spans="2:9">
      <c r="B35" s="1403"/>
      <c r="C35" s="1404"/>
      <c r="D35" s="1406"/>
      <c r="E35" s="1406"/>
      <c r="F35" s="1404"/>
      <c r="G35" s="1406"/>
      <c r="H35" s="1406"/>
      <c r="I35" s="1403"/>
    </row>
    <row r="36" spans="2:9">
      <c r="B36" s="1403"/>
      <c r="C36" s="1404"/>
      <c r="D36" s="1406"/>
      <c r="E36" s="1406"/>
      <c r="F36" s="1404"/>
      <c r="G36" s="1406"/>
      <c r="H36" s="1406"/>
      <c r="I36" s="1403"/>
    </row>
    <row r="37" spans="2:9">
      <c r="B37" s="1403"/>
      <c r="C37" s="1404"/>
      <c r="D37" s="1406"/>
      <c r="E37" s="1406"/>
      <c r="F37" s="1404"/>
      <c r="G37" s="1406"/>
      <c r="H37" s="1406"/>
      <c r="I37" s="1403"/>
    </row>
    <row r="38" spans="2:9">
      <c r="B38" s="1403"/>
      <c r="C38" s="1404"/>
      <c r="D38" s="1406"/>
      <c r="E38" s="1406"/>
      <c r="F38" s="1404"/>
      <c r="G38" s="1406"/>
      <c r="H38" s="1406"/>
      <c r="I38" s="1405"/>
    </row>
    <row r="39" spans="2:9">
      <c r="B39" s="1403"/>
      <c r="C39" s="1404"/>
      <c r="D39" s="1406"/>
      <c r="E39" s="1406"/>
      <c r="F39" s="1405"/>
      <c r="G39" s="1406"/>
      <c r="H39" s="1406"/>
      <c r="I39" s="1403"/>
    </row>
    <row r="40" spans="2:9">
      <c r="B40" s="1403"/>
      <c r="C40" s="1404"/>
      <c r="D40" s="1406"/>
      <c r="E40" s="1406"/>
      <c r="F40" s="1404"/>
      <c r="G40" s="1406"/>
      <c r="H40" s="1406"/>
      <c r="I40" s="1403"/>
    </row>
    <row r="41" spans="2:9">
      <c r="B41" s="1403"/>
      <c r="C41" s="1404"/>
      <c r="D41" s="1406"/>
      <c r="E41" s="1406"/>
      <c r="F41" s="1404"/>
      <c r="G41" s="1406"/>
      <c r="H41" s="1406"/>
      <c r="I41" s="1403"/>
    </row>
    <row r="42" spans="2:9">
      <c r="B42" s="1403"/>
      <c r="C42" s="1404"/>
      <c r="D42" s="1406"/>
      <c r="E42" s="1406"/>
      <c r="F42" s="1404"/>
      <c r="G42" s="1406"/>
      <c r="H42" s="1406"/>
      <c r="I42" s="1405"/>
    </row>
    <row r="43" spans="2:9">
      <c r="B43" s="1403"/>
      <c r="C43" s="1404"/>
      <c r="D43" s="1406"/>
      <c r="E43" s="1406"/>
      <c r="F43" s="1404"/>
      <c r="G43" s="1406"/>
      <c r="H43" s="1406"/>
      <c r="I43" s="1403"/>
    </row>
    <row r="44" spans="2:9">
      <c r="B44" s="1403"/>
      <c r="C44" s="1404"/>
      <c r="D44" s="1406"/>
      <c r="E44" s="1406"/>
      <c r="F44" s="1404"/>
      <c r="G44" s="1406"/>
      <c r="H44" s="1406"/>
      <c r="I44" s="1403"/>
    </row>
    <row r="45" spans="2:9">
      <c r="B45" s="1403"/>
      <c r="C45" s="1404"/>
      <c r="D45" s="1406"/>
      <c r="E45" s="1406"/>
      <c r="F45" s="1404"/>
      <c r="G45" s="1406"/>
      <c r="H45" s="1406"/>
      <c r="I45" s="1403"/>
    </row>
    <row r="46" spans="2:9">
      <c r="B46" s="1405"/>
      <c r="C46" s="1404"/>
      <c r="D46" s="1406"/>
      <c r="E46" s="1406"/>
      <c r="F46" s="1404"/>
      <c r="G46" s="1406"/>
      <c r="H46" s="1406"/>
      <c r="I46" s="1403"/>
    </row>
    <row r="47" spans="2:9">
      <c r="B47" s="1405"/>
      <c r="C47" s="1404"/>
      <c r="D47" s="1406"/>
      <c r="E47" s="1406"/>
      <c r="F47" s="1404"/>
      <c r="G47" s="1406"/>
      <c r="H47" s="1406"/>
      <c r="I47" s="1403"/>
    </row>
    <row r="48" spans="2:9">
      <c r="B48" s="1405"/>
      <c r="C48" s="1404"/>
      <c r="D48" s="1406"/>
      <c r="E48" s="1406"/>
      <c r="F48" s="1404"/>
      <c r="G48" s="1406"/>
      <c r="H48" s="1406"/>
      <c r="I48" s="1403"/>
    </row>
    <row r="49" spans="2:9">
      <c r="B49" s="1405"/>
      <c r="C49" s="1404"/>
      <c r="D49" s="1406"/>
      <c r="E49" s="1406"/>
      <c r="F49" s="1404"/>
      <c r="G49" s="1406"/>
      <c r="H49" s="1406"/>
      <c r="I49" s="1405"/>
    </row>
    <row r="50" spans="2:9">
      <c r="B50" s="1405"/>
      <c r="C50" s="1404"/>
      <c r="D50" s="1406"/>
      <c r="E50" s="1406"/>
      <c r="F50" s="1404"/>
      <c r="G50" s="1406"/>
      <c r="H50" s="1406"/>
      <c r="I50" s="1403"/>
    </row>
    <row r="51" spans="2:9">
      <c r="B51" s="1405"/>
      <c r="C51" s="1404"/>
      <c r="D51" s="1406"/>
      <c r="E51" s="1406"/>
      <c r="F51" s="1404"/>
      <c r="G51" s="1406"/>
      <c r="H51" s="1406"/>
      <c r="I51" s="1403"/>
    </row>
    <row r="52" spans="2:9">
      <c r="B52" s="1403"/>
      <c r="C52" s="1404"/>
      <c r="D52" s="1406"/>
      <c r="E52" s="1406"/>
      <c r="F52" s="1404"/>
      <c r="G52" s="1406"/>
      <c r="H52" s="1406"/>
      <c r="I52" s="1403"/>
    </row>
    <row r="53" spans="2:9">
      <c r="B53" s="1403"/>
      <c r="C53" s="1404"/>
      <c r="D53" s="1406"/>
      <c r="E53" s="1406"/>
      <c r="F53" s="1404"/>
      <c r="G53" s="1406"/>
      <c r="H53" s="1406"/>
      <c r="I53" s="1403"/>
    </row>
    <row r="54" spans="2:9">
      <c r="B54" s="1403"/>
      <c r="C54" s="1404"/>
      <c r="D54" s="1406"/>
      <c r="E54" s="1406"/>
      <c r="F54" s="1404"/>
      <c r="G54" s="1406"/>
      <c r="H54" s="1406"/>
      <c r="I54" s="1403"/>
    </row>
    <row r="55" spans="2:9">
      <c r="B55" s="1403"/>
      <c r="C55" s="1404"/>
      <c r="D55" s="1406"/>
      <c r="E55" s="1406"/>
      <c r="F55" s="1404"/>
      <c r="G55" s="1406"/>
      <c r="H55" s="1406"/>
      <c r="I55" s="1403"/>
    </row>
    <row r="56" spans="2:9">
      <c r="B56" s="1403"/>
      <c r="C56" s="1404"/>
      <c r="D56" s="1406"/>
      <c r="E56" s="1406"/>
      <c r="F56" s="1404"/>
      <c r="G56" s="1406"/>
      <c r="H56" s="1406"/>
      <c r="I56" s="1403"/>
    </row>
    <row r="57" spans="2:9">
      <c r="B57" s="1403"/>
      <c r="C57" s="1404"/>
      <c r="D57" s="1406"/>
      <c r="E57" s="1406"/>
      <c r="F57" s="1404"/>
      <c r="G57" s="1406"/>
      <c r="H57" s="1406"/>
      <c r="I57" s="1403"/>
    </row>
    <row r="58" spans="2:9">
      <c r="B58" s="1403"/>
      <c r="C58" s="1404"/>
      <c r="D58" s="1406"/>
      <c r="E58" s="1406"/>
      <c r="F58" s="1404"/>
      <c r="G58" s="1406"/>
      <c r="H58" s="1406"/>
      <c r="I58" s="1403"/>
    </row>
    <row r="59" spans="2:9">
      <c r="B59" s="1403"/>
      <c r="C59" s="1404"/>
      <c r="D59" s="1406"/>
      <c r="E59" s="1406"/>
      <c r="F59" s="1404"/>
      <c r="G59" s="1406"/>
      <c r="H59" s="1406"/>
      <c r="I59" s="1403"/>
    </row>
    <row r="60" spans="2:9">
      <c r="B60" s="1403"/>
      <c r="C60" s="1404"/>
      <c r="D60" s="1406"/>
      <c r="E60" s="1406"/>
      <c r="F60" s="1404"/>
      <c r="G60" s="1406"/>
      <c r="H60" s="1406"/>
      <c r="I60" s="1403"/>
    </row>
    <row r="61" spans="2:9">
      <c r="B61" s="1403"/>
      <c r="C61" s="1404"/>
      <c r="D61" s="1406"/>
      <c r="E61" s="1406"/>
      <c r="F61" s="1404"/>
      <c r="G61" s="1406"/>
      <c r="H61" s="1406"/>
      <c r="I61" s="1403"/>
    </row>
    <row r="62" spans="2:9">
      <c r="B62" s="1403"/>
      <c r="C62" s="1404"/>
      <c r="D62" s="1406"/>
      <c r="E62" s="1406"/>
      <c r="F62" s="1404"/>
      <c r="G62" s="1406"/>
      <c r="H62" s="1406"/>
      <c r="I62" s="1403"/>
    </row>
    <row r="63" spans="2:9">
      <c r="B63" s="1403"/>
      <c r="C63" s="1404"/>
      <c r="D63" s="1406"/>
      <c r="E63" s="1406"/>
      <c r="F63" s="1404"/>
      <c r="G63" s="1406"/>
      <c r="H63" s="1406"/>
      <c r="I63" s="1403"/>
    </row>
    <row r="64" spans="2:9">
      <c r="B64" s="1405"/>
      <c r="C64" s="1404"/>
      <c r="D64" s="1406"/>
      <c r="E64" s="1406"/>
      <c r="F64" s="1404"/>
      <c r="G64" s="1406"/>
      <c r="H64" s="1406"/>
      <c r="I64" s="1405"/>
    </row>
    <row r="65" spans="2:9">
      <c r="B65" s="1403"/>
      <c r="C65" s="1404"/>
      <c r="D65" s="1406"/>
      <c r="E65" s="1406"/>
      <c r="F65" s="1404"/>
      <c r="G65" s="1406"/>
      <c r="H65" s="1406"/>
      <c r="I65" s="1403"/>
    </row>
    <row r="66" spans="2:9">
      <c r="B66" s="1405"/>
      <c r="C66" s="1404"/>
      <c r="D66" s="1406"/>
      <c r="E66" s="1406"/>
      <c r="F66" s="1404"/>
      <c r="G66" s="1406"/>
      <c r="H66" s="1406"/>
      <c r="I66" s="1405"/>
    </row>
    <row r="67" spans="2:9">
      <c r="B67" s="1405"/>
      <c r="C67" s="1404"/>
      <c r="D67" s="1406"/>
      <c r="E67" s="1406"/>
      <c r="F67" s="1404"/>
      <c r="G67" s="1406"/>
      <c r="H67" s="1406"/>
      <c r="I67" s="1403"/>
    </row>
    <row r="68" spans="2:9">
      <c r="B68" s="1405"/>
      <c r="C68" s="1404"/>
      <c r="D68" s="1406"/>
      <c r="E68" s="1406"/>
      <c r="F68" s="1404"/>
      <c r="G68" s="1406"/>
      <c r="H68" s="1406"/>
      <c r="I68" s="1403"/>
    </row>
    <row r="69" spans="2:9">
      <c r="B69" s="1405"/>
      <c r="C69" s="1404"/>
      <c r="D69" s="1406"/>
      <c r="E69" s="1406"/>
      <c r="F69" s="1404"/>
      <c r="G69" s="1406"/>
      <c r="H69" s="1406"/>
      <c r="I69" s="1403"/>
    </row>
    <row r="70" spans="2:9">
      <c r="B70" s="1403"/>
      <c r="C70" s="1404"/>
      <c r="D70" s="1406"/>
      <c r="E70" s="1406"/>
      <c r="F70" s="1404"/>
      <c r="G70" s="1406"/>
      <c r="H70" s="1406"/>
      <c r="I70" s="1403"/>
    </row>
    <row r="71" spans="2:9">
      <c r="B71" s="1403"/>
      <c r="C71" s="1404"/>
      <c r="D71" s="1406"/>
      <c r="E71" s="1406"/>
      <c r="F71" s="1404"/>
      <c r="G71" s="1406"/>
      <c r="H71" s="1406"/>
      <c r="I71" s="1403"/>
    </row>
    <row r="72" spans="2:9">
      <c r="B72" s="1403"/>
      <c r="C72" s="1404"/>
      <c r="D72" s="1406"/>
      <c r="E72" s="1406"/>
      <c r="F72" s="1404"/>
      <c r="G72" s="1406"/>
      <c r="H72" s="1406"/>
      <c r="I72" s="1405"/>
    </row>
    <row r="73" spans="2:9">
      <c r="B73" s="1405"/>
      <c r="C73" s="1404"/>
      <c r="D73" s="1406"/>
      <c r="E73" s="1406"/>
      <c r="F73" s="1404"/>
      <c r="G73" s="1406"/>
      <c r="H73" s="1406"/>
      <c r="I73" s="1403"/>
    </row>
    <row r="74" spans="2:9" ht="60" customHeight="1">
      <c r="B74" s="1403"/>
      <c r="C74" s="1404"/>
      <c r="D74" s="1406"/>
      <c r="E74" s="1406"/>
      <c r="F74" s="1645"/>
      <c r="G74" s="1646"/>
      <c r="H74" s="1647"/>
      <c r="I74" s="1639"/>
    </row>
    <row r="75" spans="2:9">
      <c r="B75" s="1403"/>
      <c r="C75" s="1404"/>
      <c r="D75" s="1406"/>
      <c r="E75" s="1406"/>
      <c r="F75" s="1645"/>
      <c r="G75" s="1646"/>
      <c r="H75" s="1647"/>
      <c r="I75" s="1639"/>
    </row>
    <row r="76" spans="2:9">
      <c r="B76" s="1403"/>
      <c r="C76" s="1404"/>
      <c r="D76" s="1406"/>
      <c r="E76" s="1406"/>
      <c r="F76" s="1407"/>
      <c r="G76" s="1408"/>
      <c r="H76" s="1409"/>
      <c r="I76" s="1410"/>
    </row>
    <row r="77" spans="2:9">
      <c r="B77" s="1403"/>
      <c r="C77" s="1404"/>
      <c r="D77" s="1406"/>
      <c r="E77" s="1406"/>
      <c r="F77" s="1407"/>
      <c r="G77" s="1408"/>
      <c r="H77" s="1409"/>
      <c r="I77" s="1410"/>
    </row>
    <row r="78" spans="2:9">
      <c r="B78" s="1403"/>
      <c r="C78" s="1404"/>
      <c r="D78" s="1406"/>
      <c r="E78" s="1406"/>
      <c r="F78" s="1407"/>
      <c r="G78" s="1408"/>
      <c r="H78" s="1409"/>
      <c r="I78" s="1410"/>
    </row>
    <row r="79" spans="2:9">
      <c r="B79" s="1403"/>
      <c r="C79" s="1404"/>
      <c r="D79" s="1406"/>
      <c r="E79" s="1406"/>
      <c r="F79" s="1407"/>
      <c r="G79" s="1408"/>
      <c r="H79" s="1409"/>
      <c r="I79" s="1411"/>
    </row>
    <row r="80" spans="2:9">
      <c r="B80" s="1403"/>
      <c r="C80" s="1404"/>
      <c r="D80" s="1406"/>
      <c r="E80" s="1406"/>
      <c r="F80" s="1407"/>
      <c r="G80" s="1408"/>
      <c r="H80" s="1409"/>
      <c r="I80" s="1411"/>
    </row>
    <row r="81" spans="2:9">
      <c r="B81" s="1403"/>
      <c r="C81" s="1404"/>
      <c r="D81" s="1406"/>
      <c r="E81" s="1406"/>
      <c r="F81" s="1404"/>
      <c r="G81" s="1406"/>
      <c r="H81" s="1406"/>
      <c r="I81" s="1403"/>
    </row>
    <row r="82" spans="2:9">
      <c r="B82" s="1403"/>
      <c r="C82" s="1404"/>
      <c r="D82" s="1406"/>
      <c r="E82" s="1406"/>
      <c r="F82" s="1404"/>
      <c r="G82" s="1406"/>
      <c r="H82" s="1406"/>
      <c r="I82" s="1403"/>
    </row>
    <row r="83" spans="2:9">
      <c r="B83" s="1403"/>
      <c r="C83" s="1404"/>
      <c r="D83" s="1406"/>
      <c r="E83" s="1406"/>
      <c r="F83" s="1404"/>
      <c r="G83" s="1406"/>
      <c r="H83" s="1406"/>
      <c r="I83" s="1403"/>
    </row>
    <row r="84" spans="2:9">
      <c r="B84" s="1412"/>
      <c r="C84" s="1413"/>
      <c r="D84" s="1408"/>
      <c r="E84" s="1408"/>
      <c r="F84" s="1413"/>
      <c r="G84" s="1408"/>
      <c r="H84" s="1408"/>
      <c r="I84" s="1412"/>
    </row>
    <row r="85" spans="2:9">
      <c r="B85" s="1405"/>
      <c r="C85" s="1404"/>
      <c r="D85" s="1406"/>
      <c r="E85" s="1406"/>
      <c r="F85" s="1404"/>
      <c r="G85" s="1406"/>
      <c r="H85" s="1406"/>
      <c r="I85" s="1405"/>
    </row>
    <row r="86" spans="2:9">
      <c r="B86" s="1405"/>
      <c r="C86" s="1404"/>
      <c r="D86" s="1406"/>
      <c r="E86" s="1406"/>
      <c r="F86" s="1404"/>
      <c r="G86" s="1406"/>
      <c r="H86" s="1406"/>
      <c r="I86" s="1405"/>
    </row>
    <row r="87" spans="2:9">
      <c r="B87" s="1405"/>
      <c r="C87" s="1404"/>
      <c r="D87" s="1406"/>
      <c r="E87" s="1406"/>
      <c r="F87" s="1404"/>
      <c r="G87" s="1406"/>
      <c r="H87" s="1406"/>
      <c r="I87" s="1405"/>
    </row>
    <row r="88" spans="2:9">
      <c r="B88" s="1405"/>
      <c r="C88" s="1404"/>
      <c r="D88" s="1406"/>
      <c r="E88" s="1406"/>
      <c r="F88" s="1404"/>
      <c r="G88" s="1406"/>
      <c r="H88" s="1406"/>
      <c r="I88" s="1405"/>
    </row>
    <row r="89" spans="2:9">
      <c r="B89" s="1405"/>
      <c r="C89" s="1404"/>
      <c r="D89" s="1406"/>
      <c r="E89" s="1406"/>
      <c r="F89" s="1404"/>
      <c r="G89" s="1406"/>
      <c r="H89" s="1406"/>
      <c r="I89" s="1405"/>
    </row>
    <row r="90" spans="2:9">
      <c r="B90" s="1405"/>
      <c r="C90" s="1404"/>
      <c r="D90" s="1406"/>
      <c r="E90" s="1406"/>
      <c r="F90" s="1404"/>
      <c r="G90" s="1406"/>
      <c r="H90" s="1406"/>
      <c r="I90" s="1405"/>
    </row>
    <row r="91" spans="2:9">
      <c r="B91" s="1405"/>
      <c r="C91" s="1404"/>
      <c r="D91" s="1406"/>
      <c r="E91" s="1406"/>
      <c r="F91" s="1404"/>
      <c r="G91" s="1406"/>
      <c r="H91" s="1406"/>
      <c r="I91" s="1405"/>
    </row>
    <row r="92" spans="2:9">
      <c r="C92" s="1404"/>
      <c r="D92" s="1406"/>
      <c r="E92" s="1406"/>
      <c r="F92" s="1414"/>
      <c r="G92" s="1415"/>
      <c r="H92" s="1415"/>
    </row>
    <row r="93" spans="2:9">
      <c r="C93" s="1404"/>
      <c r="D93" s="1406"/>
      <c r="E93" s="1406"/>
      <c r="F93" s="1414"/>
      <c r="G93" s="1415"/>
      <c r="H93" s="1415"/>
    </row>
    <row r="94" spans="2:9">
      <c r="C94" s="1404"/>
      <c r="D94" s="1406"/>
      <c r="E94" s="1406"/>
      <c r="F94" s="1414"/>
      <c r="G94" s="1415"/>
      <c r="H94" s="1415"/>
    </row>
    <row r="95" spans="2:9">
      <c r="C95" s="1404"/>
      <c r="D95" s="1406"/>
      <c r="E95" s="1406"/>
      <c r="F95" s="1414"/>
      <c r="G95" s="1415"/>
      <c r="H95" s="1415"/>
    </row>
    <row r="96" spans="2:9">
      <c r="C96" s="1404"/>
      <c r="D96" s="1406"/>
      <c r="E96" s="1406"/>
      <c r="F96" s="1414"/>
      <c r="G96" s="1415"/>
      <c r="H96" s="1415"/>
    </row>
    <row r="97" spans="3:8">
      <c r="C97" s="1404"/>
      <c r="D97" s="1406"/>
      <c r="E97" s="1406"/>
      <c r="F97" s="1414"/>
      <c r="G97" s="1415"/>
      <c r="H97" s="1415"/>
    </row>
    <row r="98" spans="3:8">
      <c r="C98" s="1404"/>
      <c r="D98" s="1406"/>
      <c r="E98" s="1406"/>
      <c r="F98" s="1414"/>
      <c r="G98" s="1415"/>
      <c r="H98" s="1415"/>
    </row>
    <row r="99" spans="3:8">
      <c r="C99" s="1404"/>
      <c r="D99" s="1406"/>
      <c r="E99" s="1406"/>
      <c r="F99" s="1414"/>
      <c r="G99" s="1415"/>
      <c r="H99" s="1415"/>
    </row>
    <row r="100" spans="3:8">
      <c r="C100" s="1404"/>
      <c r="D100" s="1406"/>
      <c r="E100" s="1406"/>
      <c r="F100" s="1414"/>
      <c r="G100" s="1415"/>
      <c r="H100" s="1415"/>
    </row>
    <row r="101" spans="3:8">
      <c r="C101" s="1404"/>
      <c r="D101" s="1406"/>
      <c r="E101" s="1406"/>
      <c r="F101" s="1414"/>
      <c r="G101" s="1415"/>
      <c r="H101" s="1415"/>
    </row>
    <row r="102" spans="3:8">
      <c r="C102" s="1404"/>
      <c r="D102" s="1406"/>
      <c r="E102" s="1406"/>
      <c r="F102" s="1414"/>
      <c r="G102" s="1415"/>
      <c r="H102" s="1415"/>
    </row>
    <row r="103" spans="3:8">
      <c r="C103" s="1404"/>
      <c r="D103" s="1406"/>
      <c r="E103" s="1406"/>
      <c r="F103" s="1414"/>
      <c r="G103" s="1415"/>
      <c r="H103" s="1415"/>
    </row>
    <row r="104" spans="3:8">
      <c r="C104" s="1404"/>
      <c r="D104" s="1406"/>
      <c r="E104" s="1406"/>
      <c r="F104" s="1414"/>
      <c r="G104" s="1415"/>
      <c r="H104" s="1415"/>
    </row>
    <row r="105" spans="3:8">
      <c r="C105" s="1404"/>
      <c r="D105" s="1406"/>
      <c r="E105" s="1406"/>
      <c r="F105" s="1414"/>
      <c r="G105" s="1415"/>
      <c r="H105" s="1415"/>
    </row>
    <row r="106" spans="3:8">
      <c r="C106" s="1404"/>
      <c r="D106" s="1406"/>
      <c r="E106" s="1406"/>
      <c r="F106" s="1414"/>
      <c r="G106" s="1415"/>
      <c r="H106" s="1415"/>
    </row>
    <row r="107" spans="3:8">
      <c r="C107" s="1404"/>
      <c r="D107" s="1406"/>
      <c r="E107" s="1406"/>
      <c r="F107" s="1414"/>
      <c r="G107" s="1415"/>
      <c r="H107" s="1415"/>
    </row>
    <row r="108" spans="3:8">
      <c r="C108" s="1404"/>
      <c r="D108" s="1406"/>
      <c r="E108" s="1406"/>
      <c r="F108" s="1414"/>
      <c r="G108" s="1415"/>
      <c r="H108" s="1415"/>
    </row>
    <row r="109" spans="3:8">
      <c r="C109" s="1404"/>
      <c r="D109" s="1406"/>
      <c r="E109" s="1406"/>
      <c r="F109" s="1414"/>
      <c r="G109" s="1415"/>
      <c r="H109" s="1415"/>
    </row>
    <row r="110" spans="3:8">
      <c r="C110" s="1404"/>
      <c r="D110" s="1406"/>
      <c r="E110" s="1406"/>
      <c r="F110" s="1414"/>
      <c r="G110" s="1415"/>
      <c r="H110" s="1415"/>
    </row>
    <row r="111" spans="3:8">
      <c r="C111" s="1404"/>
      <c r="D111" s="1406"/>
      <c r="E111" s="1406"/>
      <c r="F111" s="1414"/>
      <c r="G111" s="1415"/>
      <c r="H111" s="1415"/>
    </row>
    <row r="112" spans="3:8">
      <c r="C112" s="1404"/>
      <c r="D112" s="1406"/>
      <c r="E112" s="1406"/>
      <c r="F112" s="1414"/>
      <c r="G112" s="1415"/>
      <c r="H112" s="1415"/>
    </row>
    <row r="113" spans="3:8">
      <c r="C113" s="1404"/>
      <c r="D113" s="1406"/>
      <c r="E113" s="1406"/>
      <c r="F113" s="1414"/>
      <c r="G113" s="1415"/>
      <c r="H113" s="1415"/>
    </row>
    <row r="114" spans="3:8">
      <c r="C114" s="1404"/>
      <c r="D114" s="1406"/>
      <c r="E114" s="1406"/>
      <c r="F114" s="1414"/>
      <c r="G114" s="1415"/>
      <c r="H114" s="1415"/>
    </row>
    <row r="115" spans="3:8">
      <c r="C115" s="1404"/>
      <c r="D115" s="1406"/>
      <c r="E115" s="1406"/>
      <c r="F115" s="1414"/>
      <c r="G115" s="1415"/>
      <c r="H115" s="1415"/>
    </row>
    <row r="116" spans="3:8">
      <c r="C116" s="1404"/>
      <c r="D116" s="1406"/>
      <c r="E116" s="1406"/>
      <c r="F116" s="1414"/>
      <c r="G116" s="1415"/>
      <c r="H116" s="1415"/>
    </row>
    <row r="117" spans="3:8">
      <c r="C117" s="1404"/>
      <c r="D117" s="1406"/>
      <c r="E117" s="1406"/>
      <c r="F117" s="1414"/>
      <c r="G117" s="1415"/>
      <c r="H117" s="1415"/>
    </row>
    <row r="118" spans="3:8">
      <c r="C118" s="1404"/>
      <c r="D118" s="1406"/>
      <c r="E118" s="1406"/>
      <c r="F118" s="1414"/>
      <c r="G118" s="1415"/>
      <c r="H118" s="1415"/>
    </row>
    <row r="119" spans="3:8">
      <c r="C119" s="1404"/>
      <c r="D119" s="1406"/>
      <c r="E119" s="1406"/>
      <c r="F119" s="1414"/>
      <c r="G119" s="1415"/>
      <c r="H119" s="1415"/>
    </row>
    <row r="120" spans="3:8">
      <c r="C120" s="1404"/>
      <c r="D120" s="1406"/>
      <c r="E120" s="1406"/>
      <c r="F120" s="1414"/>
      <c r="G120" s="1415"/>
      <c r="H120" s="1415"/>
    </row>
    <row r="121" spans="3:8">
      <c r="C121" s="1404"/>
      <c r="D121" s="1406"/>
      <c r="E121" s="1406"/>
      <c r="F121" s="1414"/>
      <c r="G121" s="1415"/>
      <c r="H121" s="1415"/>
    </row>
    <row r="122" spans="3:8">
      <c r="C122" s="1404"/>
      <c r="D122" s="1406"/>
      <c r="E122" s="1406"/>
      <c r="F122" s="1414"/>
      <c r="G122" s="1415"/>
      <c r="H122" s="1415"/>
    </row>
    <row r="123" spans="3:8">
      <c r="C123" s="1404"/>
      <c r="D123" s="1406"/>
      <c r="E123" s="1406"/>
      <c r="F123" s="1414"/>
      <c r="G123" s="1415"/>
      <c r="H123" s="1415"/>
    </row>
    <row r="124" spans="3:8">
      <c r="C124" s="1404"/>
      <c r="D124" s="1406"/>
      <c r="E124" s="1406"/>
      <c r="F124" s="1414"/>
      <c r="G124" s="1415"/>
      <c r="H124" s="1415"/>
    </row>
    <row r="125" spans="3:8">
      <c r="C125" s="1404"/>
      <c r="D125" s="1406"/>
      <c r="E125" s="1406"/>
      <c r="F125" s="1414"/>
      <c r="G125" s="1415"/>
      <c r="H125" s="1415"/>
    </row>
    <row r="126" spans="3:8">
      <c r="C126" s="1404"/>
      <c r="D126" s="1406"/>
      <c r="E126" s="1406"/>
      <c r="G126" s="1415"/>
      <c r="H126" s="1415"/>
    </row>
    <row r="127" spans="3:8">
      <c r="C127" s="1404"/>
      <c r="D127" s="1406"/>
      <c r="E127" s="1406"/>
      <c r="G127" s="1415"/>
      <c r="H127" s="1415"/>
    </row>
    <row r="128" spans="3:8">
      <c r="C128" s="1404"/>
      <c r="D128" s="1406"/>
      <c r="E128" s="1406"/>
      <c r="G128" s="1415"/>
      <c r="H128" s="1415"/>
    </row>
    <row r="129" spans="3:8">
      <c r="C129" s="1404"/>
      <c r="D129" s="1406"/>
      <c r="E129" s="1406"/>
      <c r="G129" s="1415"/>
      <c r="H129" s="1415"/>
    </row>
    <row r="130" spans="3:8">
      <c r="C130" s="1404"/>
      <c r="D130" s="1406"/>
      <c r="E130" s="1406"/>
      <c r="G130" s="1415"/>
      <c r="H130" s="1415"/>
    </row>
    <row r="131" spans="3:8">
      <c r="C131" s="1404"/>
      <c r="D131" s="1406"/>
      <c r="E131" s="1406"/>
      <c r="G131" s="1415"/>
      <c r="H131" s="1415"/>
    </row>
    <row r="132" spans="3:8">
      <c r="C132" s="1404"/>
      <c r="D132" s="1406"/>
      <c r="E132" s="1406"/>
      <c r="G132" s="1415"/>
      <c r="H132" s="1415"/>
    </row>
    <row r="133" spans="3:8">
      <c r="C133" s="1404"/>
      <c r="G133" s="1415"/>
      <c r="H133" s="1415"/>
    </row>
    <row r="134" spans="3:8">
      <c r="C134" s="1404"/>
      <c r="G134" s="1415"/>
      <c r="H134" s="1415"/>
    </row>
    <row r="135" spans="3:8">
      <c r="C135" s="1404"/>
      <c r="G135" s="1415"/>
      <c r="H135" s="1415"/>
    </row>
    <row r="136" spans="3:8">
      <c r="C136" s="1404"/>
      <c r="G136" s="1415"/>
      <c r="H136" s="1415"/>
    </row>
    <row r="137" spans="3:8">
      <c r="C137" s="1404"/>
      <c r="G137" s="1415"/>
      <c r="H137" s="1415"/>
    </row>
    <row r="138" spans="3:8">
      <c r="C138" s="1404"/>
      <c r="G138" s="1415"/>
      <c r="H138" s="1415"/>
    </row>
    <row r="139" spans="3:8">
      <c r="C139" s="1404"/>
      <c r="G139" s="1415"/>
      <c r="H139" s="1415"/>
    </row>
    <row r="140" spans="3:8">
      <c r="G140" s="1415"/>
      <c r="H140" s="1415"/>
    </row>
    <row r="141" spans="3:8">
      <c r="G141" s="1415"/>
      <c r="H141" s="1415"/>
    </row>
    <row r="142" spans="3:8">
      <c r="G142" s="1415"/>
      <c r="H142" s="1415"/>
    </row>
    <row r="143" spans="3:8">
      <c r="G143" s="1415"/>
      <c r="H143" s="1415"/>
    </row>
    <row r="144" spans="3:8">
      <c r="G144" s="1415"/>
      <c r="H144" s="1415"/>
    </row>
    <row r="145" spans="7:8">
      <c r="G145" s="1415"/>
      <c r="H145" s="1415"/>
    </row>
    <row r="146" spans="7:8">
      <c r="G146" s="1415"/>
      <c r="H146" s="1415"/>
    </row>
  </sheetData>
  <mergeCells count="7">
    <mergeCell ref="I74:I75"/>
    <mergeCell ref="F2:H2"/>
    <mergeCell ref="B2:B3"/>
    <mergeCell ref="C2:E2"/>
    <mergeCell ref="F74:F75"/>
    <mergeCell ref="G74:G75"/>
    <mergeCell ref="H74:H75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52" fitToHeight="1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93"/>
  <sheetViews>
    <sheetView topLeftCell="A3" zoomScaleNormal="100" zoomScaleSheetLayoutView="100" workbookViewId="0">
      <pane ySplit="1" topLeftCell="A7" activePane="bottomLeft" state="frozen"/>
      <selection activeCell="S18" sqref="S18"/>
      <selection pane="bottomLeft" activeCell="S18" sqref="S18"/>
    </sheetView>
  </sheetViews>
  <sheetFormatPr defaultColWidth="9.140625" defaultRowHeight="14.25" outlineLevelCol="1"/>
  <cols>
    <col min="1" max="1" width="2.140625" style="739" customWidth="1"/>
    <col min="2" max="2" width="30.140625" style="739" customWidth="1"/>
    <col min="3" max="12" width="7.7109375" style="739" customWidth="1"/>
    <col min="13" max="13" width="8.85546875" style="739" customWidth="1"/>
    <col min="14" max="14" width="9.140625" style="738" hidden="1" customWidth="1" outlineLevel="1"/>
    <col min="15" max="15" width="9.85546875" style="738" hidden="1" customWidth="1" outlineLevel="1"/>
    <col min="16" max="16" width="16.28515625" style="738" hidden="1" customWidth="1" outlineLevel="1"/>
    <col min="17" max="17" width="9.140625" style="739" hidden="1" customWidth="1" outlineLevel="1"/>
    <col min="18" max="18" width="12.28515625" style="740" hidden="1" customWidth="1" outlineLevel="1"/>
    <col min="19" max="23" width="9.140625" style="740" hidden="1" customWidth="1" outlineLevel="1"/>
    <col min="24" max="24" width="9.140625" style="1379" collapsed="1"/>
    <col min="25" max="28" width="9.140625" style="1379"/>
    <col min="29" max="29" width="10.140625" style="1379" bestFit="1" customWidth="1"/>
    <col min="30" max="39" width="9.140625" style="1379"/>
    <col min="40" max="16384" width="9.140625" style="740"/>
  </cols>
  <sheetData>
    <row r="2" spans="1:39">
      <c r="F2" s="1648" t="s">
        <v>21</v>
      </c>
      <c r="G2" s="1648"/>
      <c r="H2" s="1648"/>
      <c r="I2" s="1648"/>
      <c r="J2" s="1648"/>
      <c r="K2" s="1648"/>
      <c r="L2" s="1648"/>
      <c r="M2" s="1648"/>
    </row>
    <row r="3" spans="1:39" s="741" customFormat="1" ht="15">
      <c r="A3" s="739"/>
      <c r="B3" s="1062" t="s">
        <v>22</v>
      </c>
      <c r="C3" s="1063">
        <v>2017</v>
      </c>
      <c r="D3" s="1063">
        <v>2018</v>
      </c>
      <c r="E3" s="1063">
        <v>2019</v>
      </c>
      <c r="F3" s="1063">
        <v>2020</v>
      </c>
      <c r="G3" s="1063">
        <v>2021</v>
      </c>
      <c r="H3" s="1063">
        <v>2022</v>
      </c>
      <c r="I3" s="1063">
        <v>2023</v>
      </c>
      <c r="J3" s="1063">
        <v>2024</v>
      </c>
      <c r="K3" s="1063">
        <v>2025</v>
      </c>
      <c r="L3" s="1063">
        <v>2026</v>
      </c>
      <c r="M3" s="1064" t="s">
        <v>23</v>
      </c>
      <c r="N3" s="738"/>
      <c r="O3" s="738"/>
      <c r="P3" s="738"/>
      <c r="Q3" s="739"/>
      <c r="X3" s="1380"/>
      <c r="Y3" s="1380"/>
      <c r="Z3" s="1380"/>
      <c r="AA3" s="1380"/>
      <c r="AB3" s="1380"/>
      <c r="AC3" s="1380"/>
      <c r="AD3" s="1380"/>
      <c r="AE3" s="1380"/>
      <c r="AF3" s="1380"/>
      <c r="AG3" s="1380"/>
      <c r="AH3" s="1380"/>
      <c r="AI3" s="1380"/>
      <c r="AJ3" s="1380"/>
      <c r="AK3" s="1380"/>
      <c r="AL3" s="1380"/>
      <c r="AM3" s="1380"/>
    </row>
    <row r="4" spans="1:39" s="742" customFormat="1" ht="12.75">
      <c r="A4" s="739"/>
      <c r="B4" s="1065" t="s">
        <v>673</v>
      </c>
      <c r="C4" s="1066"/>
      <c r="D4" s="1066"/>
      <c r="E4" s="1066"/>
      <c r="F4" s="1066"/>
      <c r="G4" s="1066"/>
      <c r="H4" s="1067"/>
      <c r="I4" s="1067"/>
      <c r="J4" s="1067"/>
      <c r="K4" s="1067"/>
      <c r="L4" s="1067"/>
      <c r="M4" s="1068"/>
      <c r="N4" s="738"/>
      <c r="O4" s="738"/>
      <c r="P4" s="738"/>
      <c r="Q4" s="738">
        <v>17122</v>
      </c>
      <c r="R4" s="832">
        <f>Q4/$Q$6*100</f>
        <v>75.69</v>
      </c>
      <c r="S4" s="832" t="e">
        <f>#REF!*R4%</f>
        <v>#REF!</v>
      </c>
      <c r="T4" s="832"/>
      <c r="U4" s="832"/>
      <c r="V4" s="832"/>
      <c r="X4" s="1381"/>
      <c r="Y4" s="1381"/>
      <c r="Z4" s="1381"/>
      <c r="AA4" s="1381"/>
      <c r="AB4" s="1381"/>
      <c r="AC4" s="1381"/>
      <c r="AD4" s="1381"/>
      <c r="AE4" s="1381"/>
      <c r="AF4" s="1381"/>
      <c r="AG4" s="1381"/>
      <c r="AH4" s="1381"/>
      <c r="AI4" s="1381"/>
      <c r="AJ4" s="1381"/>
      <c r="AK4" s="1381"/>
      <c r="AL4" s="1381"/>
      <c r="AM4" s="1381"/>
    </row>
    <row r="5" spans="1:39" s="742" customFormat="1" ht="12.75">
      <c r="A5" s="739"/>
      <c r="B5" s="1069" t="s">
        <v>24</v>
      </c>
      <c r="C5" s="1070"/>
      <c r="D5" s="1070"/>
      <c r="E5" s="1070"/>
      <c r="F5" s="1070"/>
      <c r="G5" s="1070"/>
      <c r="H5" s="1071"/>
      <c r="I5" s="1071"/>
      <c r="J5" s="1071"/>
      <c r="K5" s="1071"/>
      <c r="L5" s="1071"/>
      <c r="M5" s="1072">
        <f>SUM(C5:I5)</f>
        <v>0</v>
      </c>
      <c r="N5" s="738"/>
      <c r="O5" s="738"/>
      <c r="P5" s="738"/>
      <c r="Q5" s="738">
        <v>5500</v>
      </c>
      <c r="R5" s="832">
        <f>Q5/$Q$6*100</f>
        <v>24.31</v>
      </c>
      <c r="S5" s="832" t="e">
        <f>#REF!*R5%</f>
        <v>#REF!</v>
      </c>
      <c r="T5" s="832"/>
      <c r="U5" s="832"/>
      <c r="V5" s="832"/>
      <c r="X5" s="1381"/>
      <c r="Y5" s="1381"/>
      <c r="Z5" s="1381"/>
      <c r="AA5" s="1381"/>
      <c r="AB5" s="1381"/>
      <c r="AC5" s="1381"/>
      <c r="AD5" s="1381"/>
      <c r="AE5" s="1381"/>
      <c r="AF5" s="1381"/>
      <c r="AG5" s="1381"/>
      <c r="AH5" s="1381"/>
      <c r="AI5" s="1381"/>
      <c r="AJ5" s="1381"/>
      <c r="AK5" s="1381"/>
      <c r="AL5" s="1381"/>
      <c r="AM5" s="1381"/>
    </row>
    <row r="6" spans="1:39" s="742" customFormat="1" ht="12.75">
      <c r="A6" s="739"/>
      <c r="B6" s="1069" t="s">
        <v>25</v>
      </c>
      <c r="C6" s="1070">
        <v>3501</v>
      </c>
      <c r="D6" s="1070">
        <v>5835</v>
      </c>
      <c r="E6" s="1070">
        <v>4668</v>
      </c>
      <c r="F6" s="1070">
        <v>3877</v>
      </c>
      <c r="G6" s="1070"/>
      <c r="H6" s="1071"/>
      <c r="I6" s="1071"/>
      <c r="J6" s="1071"/>
      <c r="K6" s="1071"/>
      <c r="L6" s="1071"/>
      <c r="M6" s="1072">
        <f>SUM(C6:I6)</f>
        <v>17881</v>
      </c>
      <c r="N6" s="738"/>
      <c r="O6" s="738"/>
      <c r="P6" s="738"/>
      <c r="Q6" s="743">
        <f>SUM(Q4:Q5)</f>
        <v>22622</v>
      </c>
      <c r="R6" s="743">
        <f>SUM(R4:R5)</f>
        <v>100</v>
      </c>
      <c r="S6" s="743" t="e">
        <f>SUM(S4:S5)</f>
        <v>#REF!</v>
      </c>
      <c r="T6" s="832" t="e">
        <f>Q6-S6</f>
        <v>#REF!</v>
      </c>
      <c r="U6" s="832"/>
      <c r="V6" s="832"/>
      <c r="X6" s="1381"/>
      <c r="Y6" s="1381"/>
      <c r="Z6" s="1381"/>
      <c r="AA6" s="1381"/>
      <c r="AB6" s="1381"/>
      <c r="AC6" s="1381"/>
      <c r="AD6" s="1381"/>
      <c r="AE6" s="1381"/>
      <c r="AF6" s="1381"/>
      <c r="AG6" s="1381"/>
      <c r="AH6" s="1381"/>
      <c r="AI6" s="1381"/>
      <c r="AJ6" s="1381"/>
      <c r="AK6" s="1381"/>
      <c r="AL6" s="1381"/>
      <c r="AM6" s="1381"/>
    </row>
    <row r="7" spans="1:39" s="742" customFormat="1" ht="12.75">
      <c r="A7" s="739"/>
      <c r="B7" s="1073" t="s">
        <v>26</v>
      </c>
      <c r="C7" s="1074">
        <v>140</v>
      </c>
      <c r="D7" s="1074">
        <v>110</v>
      </c>
      <c r="E7" s="1074">
        <v>60</v>
      </c>
      <c r="F7" s="1074">
        <v>25</v>
      </c>
      <c r="G7" s="1074"/>
      <c r="H7" s="1075"/>
      <c r="I7" s="1075"/>
      <c r="J7" s="1075"/>
      <c r="K7" s="1075"/>
      <c r="L7" s="1075"/>
      <c r="M7" s="1076">
        <f>SUM(C7:I7)</f>
        <v>335</v>
      </c>
      <c r="N7" s="738"/>
      <c r="O7" s="738"/>
      <c r="P7" s="738"/>
      <c r="Q7" s="738"/>
      <c r="R7" s="832"/>
      <c r="S7" s="832"/>
      <c r="T7" s="832"/>
      <c r="U7" s="832"/>
      <c r="V7" s="832"/>
      <c r="X7" s="1381"/>
      <c r="Y7" s="1381"/>
      <c r="Z7" s="1381"/>
      <c r="AA7" s="1381"/>
      <c r="AB7" s="1381"/>
      <c r="AC7" s="1381"/>
      <c r="AD7" s="1381"/>
      <c r="AE7" s="1381"/>
      <c r="AF7" s="1381"/>
      <c r="AG7" s="1381"/>
      <c r="AH7" s="1381"/>
      <c r="AI7" s="1381"/>
      <c r="AJ7" s="1381"/>
      <c r="AK7" s="1381"/>
      <c r="AL7" s="1381"/>
      <c r="AM7" s="1381"/>
    </row>
    <row r="8" spans="1:39" s="742" customFormat="1" ht="12.75">
      <c r="A8" s="739"/>
      <c r="B8" s="1065" t="s">
        <v>672</v>
      </c>
      <c r="C8" s="1066"/>
      <c r="D8" s="1066"/>
      <c r="E8" s="1066"/>
      <c r="F8" s="1066"/>
      <c r="G8" s="1066"/>
      <c r="H8" s="1066"/>
      <c r="I8" s="1066"/>
      <c r="J8" s="1067"/>
      <c r="K8" s="1067"/>
      <c r="L8" s="1067"/>
      <c r="M8" s="1077"/>
      <c r="N8" s="738"/>
      <c r="O8" s="738"/>
      <c r="P8" s="738"/>
      <c r="Q8" s="738"/>
      <c r="R8" s="832"/>
      <c r="S8" s="832"/>
      <c r="T8" s="832"/>
      <c r="U8" s="832"/>
      <c r="V8" s="832"/>
      <c r="X8" s="1381"/>
      <c r="Y8" s="1381"/>
      <c r="Z8" s="1381"/>
      <c r="AA8" s="1381"/>
      <c r="AB8" s="1381"/>
      <c r="AC8" s="1381"/>
      <c r="AD8" s="1381"/>
      <c r="AE8" s="1381"/>
      <c r="AF8" s="1381"/>
      <c r="AG8" s="1381"/>
      <c r="AH8" s="1381"/>
      <c r="AI8" s="1381"/>
      <c r="AJ8" s="1381"/>
      <c r="AK8" s="1381"/>
      <c r="AL8" s="1381"/>
      <c r="AM8" s="1381"/>
    </row>
    <row r="9" spans="1:39" s="742" customFormat="1" ht="12.75">
      <c r="A9" s="739"/>
      <c r="B9" s="1069" t="s">
        <v>24</v>
      </c>
      <c r="C9" s="1070"/>
      <c r="D9" s="1070">
        <f>3445*0+800000/1000</f>
        <v>800</v>
      </c>
      <c r="E9" s="1070">
        <v>9435</v>
      </c>
      <c r="F9" s="1070">
        <f>23759*0+13630</f>
        <v>13630</v>
      </c>
      <c r="G9" s="1070">
        <v>13935</v>
      </c>
      <c r="H9" s="1070">
        <v>2500</v>
      </c>
      <c r="I9" s="1070"/>
      <c r="J9" s="1071"/>
      <c r="K9" s="1071"/>
      <c r="L9" s="1071"/>
      <c r="M9" s="1072">
        <f>SUM(C9:K9)</f>
        <v>40300</v>
      </c>
      <c r="N9" s="738"/>
      <c r="O9" s="738"/>
      <c r="P9" s="738"/>
      <c r="Q9" s="739"/>
      <c r="X9" s="1381"/>
      <c r="Y9" s="1381"/>
      <c r="Z9" s="1381"/>
      <c r="AA9" s="1381"/>
      <c r="AB9" s="1381"/>
      <c r="AC9" s="1381"/>
      <c r="AD9" s="1381"/>
      <c r="AE9" s="1381"/>
      <c r="AF9" s="1381"/>
      <c r="AG9" s="1381"/>
      <c r="AH9" s="1381"/>
      <c r="AI9" s="1381"/>
      <c r="AJ9" s="1381"/>
      <c r="AK9" s="1381"/>
      <c r="AL9" s="1381"/>
      <c r="AM9" s="1381"/>
    </row>
    <row r="10" spans="1:39" s="742" customFormat="1" ht="12.75">
      <c r="A10" s="739"/>
      <c r="B10" s="1069" t="s">
        <v>25</v>
      </c>
      <c r="C10" s="1070"/>
      <c r="D10" s="1070"/>
      <c r="E10" s="1070"/>
      <c r="F10" s="1070"/>
      <c r="G10" s="1070"/>
      <c r="H10" s="1070">
        <f>859*4</f>
        <v>3436</v>
      </c>
      <c r="I10" s="1070">
        <f>H10</f>
        <v>3436</v>
      </c>
      <c r="J10" s="1071">
        <f>I10</f>
        <v>3436</v>
      </c>
      <c r="K10" s="1071">
        <f>J10</f>
        <v>3436</v>
      </c>
      <c r="L10" s="1071">
        <v>3436</v>
      </c>
      <c r="M10" s="1072">
        <f>SUM(C10:K10)</f>
        <v>13744</v>
      </c>
      <c r="N10" s="738">
        <f>37800-800</f>
        <v>37000</v>
      </c>
      <c r="O10" s="738"/>
      <c r="P10" s="738"/>
      <c r="Q10" s="739"/>
      <c r="X10" s="1381"/>
      <c r="Y10" s="1381"/>
      <c r="Z10" s="1381"/>
      <c r="AA10" s="1381"/>
      <c r="AB10" s="1381"/>
      <c r="AC10" s="1381"/>
      <c r="AD10" s="1381"/>
      <c r="AE10" s="1381"/>
      <c r="AF10" s="1381"/>
      <c r="AG10" s="1381"/>
      <c r="AH10" s="1381"/>
      <c r="AI10" s="1381"/>
      <c r="AJ10" s="1381"/>
      <c r="AK10" s="1381"/>
      <c r="AL10" s="1381"/>
      <c r="AM10" s="1381"/>
    </row>
    <row r="11" spans="1:39" s="742" customFormat="1" ht="12.75">
      <c r="A11" s="739"/>
      <c r="B11" s="1078" t="s">
        <v>26</v>
      </c>
      <c r="C11" s="1079"/>
      <c r="D11" s="1079"/>
      <c r="E11" s="1079"/>
      <c r="F11" s="1079"/>
      <c r="G11" s="1079">
        <f>SUM(37800-G9)*0.02/4+(SUM(37800)-G10/4)*0.02/4+(SUM(37800)-G10/4*2)*0.02/4+(SUM(37800)-G10/4*3)*0.02/4</f>
        <v>686</v>
      </c>
      <c r="H11" s="1079">
        <f>SUM(37800)*0.02/4+(SUM(37800)-H10/4)*0.02/4+(SUM(37800)-H10/4*2)*0.02/4+(SUM(37800)-H10/4*3)*0.02/4</f>
        <v>730</v>
      </c>
      <c r="I11" s="1079">
        <f>(SUM(37800)-H10)*0.02/4+((SUM(37800)-H10)-I10/4)*0.02/4+((SUM(37800)-H10)-I10/4*2)*0.02/4+((SUM(37800)-H10)-I10/4*3)*0.02/4</f>
        <v>662</v>
      </c>
      <c r="J11" s="1079">
        <f>(SUM(37800)-H10-I10)*0.02/4+((SUM(37800)-H10-I10)-J10/4)*0.02/4+((SUM(37800)-H10-I10)-J10/4*2)*0.02/4+((SUM(37800)-H10-I10)-J10/4*3)*0.02/4</f>
        <v>593</v>
      </c>
      <c r="K11" s="1079">
        <f>(SUM(37800)-H10-I10-J10)*0.02/4+((SUM(37800)-H10-I10-J10)-K10/4)*0.02/4+((SUM(37800)-H10-I10-J10)-K10/4*2)*0.02/4+((SUM(37800)-H10-I10-J10)-K10/4*3)*0.02/4</f>
        <v>524</v>
      </c>
      <c r="L11" s="1082">
        <v>455</v>
      </c>
      <c r="M11" s="1080">
        <f>SUM(C11:K11)</f>
        <v>3195</v>
      </c>
      <c r="N11" s="738"/>
      <c r="O11" s="738"/>
      <c r="P11" s="738">
        <f>F9+G9+I13</f>
        <v>27565</v>
      </c>
      <c r="Q11" s="739"/>
      <c r="X11" s="1381"/>
      <c r="Y11" s="1381"/>
      <c r="Z11" s="1381"/>
      <c r="AA11" s="1381"/>
      <c r="AB11" s="1381"/>
      <c r="AC11" s="1382"/>
      <c r="AD11" s="1381"/>
      <c r="AE11" s="1381"/>
      <c r="AF11" s="1381"/>
      <c r="AG11" s="1381"/>
      <c r="AH11" s="1381"/>
      <c r="AI11" s="1381"/>
      <c r="AJ11" s="1381"/>
      <c r="AK11" s="1381"/>
      <c r="AL11" s="1381"/>
      <c r="AM11" s="1381"/>
    </row>
    <row r="12" spans="1:39" s="742" customFormat="1" ht="24">
      <c r="A12" s="739"/>
      <c r="B12" s="1358" t="s">
        <v>811</v>
      </c>
      <c r="C12" s="1066"/>
      <c r="D12" s="1066"/>
      <c r="E12" s="1066"/>
      <c r="F12" s="1066"/>
      <c r="G12" s="1066"/>
      <c r="H12" s="1066"/>
      <c r="I12" s="1066"/>
      <c r="J12" s="1066"/>
      <c r="K12" s="1066"/>
      <c r="L12" s="1067"/>
      <c r="M12" s="1077"/>
      <c r="N12" s="738"/>
      <c r="O12" s="738"/>
      <c r="P12" s="738"/>
      <c r="Q12" s="739"/>
      <c r="X12" s="1381" t="s">
        <v>839</v>
      </c>
      <c r="Y12" s="1381"/>
      <c r="Z12" s="1382"/>
      <c r="AA12" s="1381"/>
      <c r="AB12" s="1381"/>
      <c r="AC12" s="1381"/>
      <c r="AD12" s="1381"/>
      <c r="AE12" s="1381"/>
      <c r="AF12" s="1381"/>
      <c r="AG12" s="1381"/>
      <c r="AH12" s="1381"/>
      <c r="AI12" s="1381"/>
      <c r="AJ12" s="1381"/>
      <c r="AK12" s="1381"/>
      <c r="AL12" s="1381"/>
      <c r="AM12" s="1381"/>
    </row>
    <row r="13" spans="1:39" s="742" customFormat="1" ht="12.75">
      <c r="A13" s="739"/>
      <c r="B13" s="1069" t="s">
        <v>24</v>
      </c>
      <c r="C13" s="1070"/>
      <c r="D13" s="1070"/>
      <c r="E13" s="1070"/>
      <c r="F13" s="1070">
        <v>0</v>
      </c>
      <c r="G13" s="1070">
        <v>0</v>
      </c>
      <c r="H13" s="1070">
        <f>5800*0</f>
        <v>0</v>
      </c>
      <c r="I13" s="1070"/>
      <c r="J13" s="1070"/>
      <c r="K13" s="1070"/>
      <c r="L13" s="1071"/>
      <c r="M13" s="1072">
        <f>SUM(C13:K13)</f>
        <v>0</v>
      </c>
      <c r="N13" s="738">
        <f>15800*0+13200</f>
        <v>13200</v>
      </c>
      <c r="O13" s="738"/>
      <c r="P13" s="1359">
        <v>24300</v>
      </c>
      <c r="Q13" s="739"/>
      <c r="X13" s="1382"/>
      <c r="Y13" s="1382"/>
      <c r="Z13" s="1381"/>
      <c r="AA13" s="1381"/>
      <c r="AB13" s="1381"/>
      <c r="AC13" s="1381"/>
      <c r="AD13" s="1381"/>
      <c r="AE13" s="1381"/>
      <c r="AF13" s="1381"/>
      <c r="AG13" s="1381"/>
      <c r="AH13" s="1381"/>
      <c r="AI13" s="1381"/>
      <c r="AJ13" s="1381"/>
      <c r="AK13" s="1381"/>
      <c r="AL13" s="1381"/>
      <c r="AM13" s="1381"/>
    </row>
    <row r="14" spans="1:39" s="742" customFormat="1" ht="12.75">
      <c r="A14" s="739"/>
      <c r="B14" s="1069" t="s">
        <v>25</v>
      </c>
      <c r="C14" s="1070"/>
      <c r="D14" s="1070"/>
      <c r="E14" s="1070"/>
      <c r="F14" s="1070"/>
      <c r="G14" s="1070"/>
      <c r="H14" s="1070">
        <f>414*0</f>
        <v>0</v>
      </c>
      <c r="I14" s="1070">
        <f>829*0</f>
        <v>0</v>
      </c>
      <c r="J14" s="1070">
        <f>I14</f>
        <v>0</v>
      </c>
      <c r="K14" s="1070">
        <f>J14</f>
        <v>0</v>
      </c>
      <c r="L14" s="1071">
        <f>829*0</f>
        <v>0</v>
      </c>
      <c r="M14" s="1072">
        <f>SUM(H14:L14)</f>
        <v>0</v>
      </c>
      <c r="N14" s="738"/>
      <c r="O14" s="738"/>
      <c r="P14" s="743" t="s">
        <v>674</v>
      </c>
      <c r="Q14" s="739"/>
      <c r="X14" s="1381"/>
      <c r="Y14" s="1381"/>
      <c r="Z14" s="1381"/>
      <c r="AA14" s="1381"/>
      <c r="AB14" s="1381"/>
      <c r="AC14" s="1381"/>
      <c r="AD14" s="1381"/>
      <c r="AE14" s="1381"/>
      <c r="AF14" s="1381"/>
      <c r="AG14" s="1381"/>
      <c r="AH14" s="1381"/>
      <c r="AI14" s="1381"/>
      <c r="AJ14" s="1381"/>
      <c r="AK14" s="1381"/>
      <c r="AL14" s="1381"/>
      <c r="AM14" s="1381"/>
    </row>
    <row r="15" spans="1:39" s="742" customFormat="1" ht="12.75">
      <c r="A15" s="739"/>
      <c r="B15" s="1078" t="s">
        <v>26</v>
      </c>
      <c r="C15" s="1079"/>
      <c r="D15" s="1079"/>
      <c r="E15" s="1079"/>
      <c r="F15" s="1079">
        <f>(F13/4)*0.02/4+(F13/4*2)*0.02/4+(F13/4*3)*0.02/4+F13*0.02/4</f>
        <v>0</v>
      </c>
      <c r="G15" s="1079">
        <f>$F13*0.02+(G13/4)*0.02/4+(G13/4*2)*0.02/4+(G13/4*3)*0.02/4+G13*0.02/4</f>
        <v>0</v>
      </c>
      <c r="H15" s="1079">
        <f>200*0</f>
        <v>0</v>
      </c>
      <c r="I15" s="1079">
        <f>175*0</f>
        <v>0</v>
      </c>
      <c r="J15" s="1079">
        <f>146*0</f>
        <v>0</v>
      </c>
      <c r="K15" s="1079">
        <f>117*0</f>
        <v>0</v>
      </c>
      <c r="L15" s="1082">
        <f>88*0</f>
        <v>0</v>
      </c>
      <c r="M15" s="1080">
        <f>SUM(C15:L15)</f>
        <v>0</v>
      </c>
      <c r="N15" s="738"/>
      <c r="O15" s="738"/>
      <c r="P15" s="743"/>
      <c r="Q15" s="738"/>
      <c r="R15" s="832"/>
      <c r="S15" s="832"/>
      <c r="T15" s="832"/>
      <c r="U15" s="832"/>
      <c r="V15" s="832"/>
      <c r="W15" s="832"/>
      <c r="X15" s="1381"/>
      <c r="Y15" s="1381"/>
      <c r="Z15" s="1381"/>
      <c r="AA15" s="1381"/>
      <c r="AB15" s="1381"/>
      <c r="AC15" s="1381"/>
      <c r="AD15" s="1381"/>
      <c r="AE15" s="1381"/>
      <c r="AF15" s="1381"/>
      <c r="AG15" s="1381"/>
      <c r="AH15" s="1381"/>
      <c r="AI15" s="1381"/>
      <c r="AJ15" s="1381"/>
      <c r="AK15" s="1381"/>
      <c r="AL15" s="1381"/>
      <c r="AM15" s="1381"/>
    </row>
    <row r="16" spans="1:39" s="742" customFormat="1" ht="36">
      <c r="A16" s="739"/>
      <c r="B16" s="1360" t="s">
        <v>814</v>
      </c>
      <c r="C16" s="1361"/>
      <c r="D16" s="1361"/>
      <c r="E16" s="1361"/>
      <c r="F16" s="1361"/>
      <c r="G16" s="1361"/>
      <c r="H16" s="1361"/>
      <c r="I16" s="1361"/>
      <c r="J16" s="1361"/>
      <c r="K16" s="1361"/>
      <c r="L16" s="1362"/>
      <c r="M16" s="1363"/>
      <c r="N16" s="738"/>
      <c r="O16" s="738"/>
      <c r="P16" s="743"/>
      <c r="Q16" s="738"/>
      <c r="R16" s="832"/>
      <c r="S16" s="832"/>
      <c r="T16" s="832"/>
      <c r="U16" s="832"/>
      <c r="V16" s="832"/>
      <c r="W16" s="832"/>
      <c r="X16" s="1381" t="s">
        <v>815</v>
      </c>
      <c r="Y16" s="1381"/>
      <c r="Z16" s="1381"/>
      <c r="AA16" s="1381"/>
      <c r="AB16" s="1381"/>
      <c r="AC16" s="1381"/>
      <c r="AD16" s="1381"/>
      <c r="AE16" s="1381"/>
      <c r="AF16" s="1381"/>
      <c r="AG16" s="1381"/>
      <c r="AH16" s="1381"/>
      <c r="AI16" s="1381"/>
      <c r="AJ16" s="1381"/>
      <c r="AK16" s="1381"/>
      <c r="AL16" s="1381"/>
      <c r="AM16" s="1381"/>
    </row>
    <row r="17" spans="1:39" s="742" customFormat="1" ht="12.75">
      <c r="A17" s="739"/>
      <c r="B17" s="1069" t="s">
        <v>24</v>
      </c>
      <c r="C17" s="1361"/>
      <c r="D17" s="1361"/>
      <c r="E17" s="1361"/>
      <c r="F17" s="1361"/>
      <c r="G17" s="1361"/>
      <c r="H17" s="1361"/>
      <c r="I17" s="1361">
        <v>5100</v>
      </c>
      <c r="J17" s="1361">
        <f>7100-1000</f>
        <v>6100</v>
      </c>
      <c r="K17" s="1361">
        <f>16000-7300-1500</f>
        <v>7200</v>
      </c>
      <c r="L17" s="1362">
        <v>12800</v>
      </c>
      <c r="M17" s="1364">
        <f>SUM(I17:L17)</f>
        <v>31200</v>
      </c>
      <c r="N17" s="738"/>
      <c r="O17" s="738"/>
      <c r="P17" s="743"/>
      <c r="Q17" s="738"/>
      <c r="R17" s="832"/>
      <c r="S17" s="832"/>
      <c r="T17" s="832"/>
      <c r="U17" s="832"/>
      <c r="V17" s="832"/>
      <c r="W17" s="832"/>
      <c r="X17" s="1381"/>
      <c r="Y17" s="1381"/>
      <c r="Z17" s="1381"/>
      <c r="AA17" s="1381"/>
      <c r="AB17" s="1381"/>
      <c r="AC17" s="1381"/>
      <c r="AD17" s="1381"/>
      <c r="AE17" s="1381"/>
      <c r="AF17" s="1381"/>
      <c r="AG17" s="1381"/>
      <c r="AH17" s="1381"/>
      <c r="AI17" s="1381"/>
      <c r="AJ17" s="1381"/>
      <c r="AK17" s="1381"/>
      <c r="AL17" s="1381"/>
      <c r="AM17" s="1381"/>
    </row>
    <row r="18" spans="1:39" s="742" customFormat="1" ht="12.75">
      <c r="A18" s="739"/>
      <c r="B18" s="1069" t="s">
        <v>25</v>
      </c>
      <c r="C18" s="1361"/>
      <c r="D18" s="1361"/>
      <c r="E18" s="1361"/>
      <c r="F18" s="1361"/>
      <c r="G18" s="1361"/>
      <c r="H18" s="1361"/>
      <c r="I18" s="1361"/>
      <c r="J18" s="1361"/>
      <c r="K18" s="1361"/>
      <c r="L18" s="1362"/>
      <c r="M18" s="1363"/>
      <c r="N18" s="738"/>
      <c r="O18" s="738"/>
      <c r="P18" s="743"/>
      <c r="Q18" s="738"/>
      <c r="R18" s="832"/>
      <c r="S18" s="832"/>
      <c r="T18" s="832"/>
      <c r="U18" s="832"/>
      <c r="V18" s="832"/>
      <c r="W18" s="832"/>
      <c r="X18" s="1381"/>
      <c r="Y18" s="1381"/>
      <c r="Z18" s="1381"/>
      <c r="AA18" s="1381"/>
      <c r="AB18" s="1381"/>
      <c r="AC18" s="1381"/>
      <c r="AD18" s="1381"/>
      <c r="AE18" s="1381"/>
      <c r="AF18" s="1381"/>
      <c r="AG18" s="1381"/>
      <c r="AH18" s="1381"/>
      <c r="AI18" s="1381"/>
      <c r="AJ18" s="1381"/>
      <c r="AK18" s="1381"/>
      <c r="AL18" s="1381"/>
      <c r="AM18" s="1381"/>
    </row>
    <row r="19" spans="1:39" s="742" customFormat="1" ht="12.75">
      <c r="A19" s="739"/>
      <c r="B19" s="1078" t="s">
        <v>26</v>
      </c>
      <c r="C19" s="1361"/>
      <c r="D19" s="1361"/>
      <c r="E19" s="1361"/>
      <c r="F19" s="1361"/>
      <c r="G19" s="1361"/>
      <c r="H19" s="1361"/>
      <c r="I19" s="1079">
        <f>(I17/4)*0.03/4+(I17/4*2)*0.03/4+(I17/4*3)*0.03/4+I17*0.03/4</f>
        <v>96</v>
      </c>
      <c r="J19" s="1079">
        <f>SUM($I17:I17)*0.03+(J17/4)*0.03/4+(J17/4*2)*0.03/4+(J17/4*3)*0.03/4+J17*0.03/4</f>
        <v>267</v>
      </c>
      <c r="K19" s="1079">
        <f>SUM($I17:J17)*0.03+(K17/4)*0.03/4+(K17/4*2)*0.03/4+(K17/4*3)*0.03/4+K17*0.03/4</f>
        <v>471</v>
      </c>
      <c r="L19" s="1079">
        <f>SUM($I17:K17)*0.03+(L17/4)*0.03/4+(L17/4*2)*0.03/4+(L17/4*3)*0.03/4+L17*0.03/4</f>
        <v>792</v>
      </c>
      <c r="M19" s="1363"/>
      <c r="N19" s="738"/>
      <c r="O19" s="738"/>
      <c r="P19" s="743"/>
      <c r="Q19" s="738"/>
      <c r="R19" s="832"/>
      <c r="S19" s="832"/>
      <c r="T19" s="832"/>
      <c r="U19" s="832"/>
      <c r="V19" s="832"/>
      <c r="W19" s="832"/>
      <c r="X19" s="1381"/>
      <c r="Y19" s="1381"/>
      <c r="Z19" s="1381"/>
      <c r="AA19" s="1381"/>
      <c r="AB19" s="1381"/>
      <c r="AC19" s="1381"/>
      <c r="AD19" s="1381"/>
      <c r="AE19" s="1381"/>
      <c r="AF19" s="1381"/>
      <c r="AG19" s="1381"/>
      <c r="AH19" s="1381"/>
      <c r="AI19" s="1381"/>
      <c r="AJ19" s="1381"/>
      <c r="AK19" s="1381"/>
      <c r="AL19" s="1381"/>
      <c r="AM19" s="1381"/>
    </row>
    <row r="20" spans="1:39" s="742" customFormat="1" ht="36">
      <c r="A20" s="739"/>
      <c r="B20" s="1081" t="s">
        <v>705</v>
      </c>
      <c r="C20" s="1066"/>
      <c r="D20" s="1066"/>
      <c r="E20" s="1066"/>
      <c r="F20" s="1066"/>
      <c r="G20" s="1066"/>
      <c r="H20" s="1066"/>
      <c r="I20" s="1066"/>
      <c r="J20" s="1066"/>
      <c r="K20" s="1066"/>
      <c r="L20" s="1067"/>
      <c r="M20" s="1077"/>
      <c r="N20" s="738"/>
      <c r="O20" s="738"/>
      <c r="P20" s="743"/>
      <c r="Q20" s="738"/>
      <c r="R20" s="832"/>
      <c r="S20" s="832"/>
      <c r="T20" s="832"/>
      <c r="U20" s="832"/>
      <c r="V20" s="832"/>
      <c r="W20" s="832"/>
      <c r="X20" s="1381"/>
      <c r="Y20" s="1381"/>
      <c r="Z20" s="1381"/>
      <c r="AA20" s="1381"/>
      <c r="AB20" s="1381"/>
      <c r="AC20" s="1381"/>
      <c r="AD20" s="1381"/>
      <c r="AE20" s="1381"/>
      <c r="AF20" s="1381"/>
      <c r="AG20" s="1381"/>
      <c r="AH20" s="1381"/>
      <c r="AI20" s="1381"/>
      <c r="AJ20" s="1381"/>
      <c r="AK20" s="1381"/>
      <c r="AL20" s="1381"/>
      <c r="AM20" s="1381"/>
    </row>
    <row r="21" spans="1:39" s="742" customFormat="1" ht="42" customHeight="1">
      <c r="A21" s="739"/>
      <c r="B21" s="1069" t="s">
        <v>24</v>
      </c>
      <c r="C21" s="1070"/>
      <c r="D21" s="1070"/>
      <c r="E21" s="1070">
        <f>3800*0</f>
        <v>0</v>
      </c>
      <c r="F21" s="1070">
        <f>6000*0</f>
        <v>0</v>
      </c>
      <c r="G21" s="1070"/>
      <c r="H21" s="1070">
        <v>6000</v>
      </c>
      <c r="I21" s="1070">
        <v>0</v>
      </c>
      <c r="J21" s="1070">
        <v>0</v>
      </c>
      <c r="K21" s="1070">
        <v>0</v>
      </c>
      <c r="L21" s="1071"/>
      <c r="M21" s="1072">
        <f>SUM(E21:K21)</f>
        <v>6000</v>
      </c>
      <c r="N21" s="738"/>
      <c r="O21" s="743">
        <f>E9+F9+G9+E13+F13+G13+H13</f>
        <v>37000</v>
      </c>
      <c r="P21" s="743"/>
      <c r="Q21" s="738"/>
      <c r="R21" s="832"/>
      <c r="S21" s="832"/>
      <c r="T21" s="832"/>
      <c r="U21" s="832"/>
      <c r="V21" s="832"/>
      <c r="W21" s="832"/>
      <c r="X21" s="1649" t="s">
        <v>841</v>
      </c>
      <c r="Y21" s="1649"/>
      <c r="Z21" s="1649"/>
      <c r="AA21" s="1649"/>
      <c r="AB21" s="1649"/>
      <c r="AC21" s="1381"/>
      <c r="AD21" s="1381"/>
      <c r="AE21" s="1381"/>
      <c r="AF21" s="1381"/>
      <c r="AG21" s="1381"/>
      <c r="AH21" s="1381"/>
      <c r="AI21" s="1381"/>
      <c r="AJ21" s="1381"/>
      <c r="AK21" s="1381"/>
      <c r="AL21" s="1381"/>
      <c r="AM21" s="1381"/>
    </row>
    <row r="22" spans="1:39" s="742" customFormat="1" ht="12.75">
      <c r="A22" s="739"/>
      <c r="B22" s="1069" t="s">
        <v>25</v>
      </c>
      <c r="C22" s="1070"/>
      <c r="D22" s="1070"/>
      <c r="E22" s="1070"/>
      <c r="F22" s="1070"/>
      <c r="G22" s="1070"/>
      <c r="H22" s="1070">
        <f>6000*0</f>
        <v>0</v>
      </c>
      <c r="I22" s="1070">
        <v>1000</v>
      </c>
      <c r="J22" s="1070">
        <v>5000</v>
      </c>
      <c r="K22" s="1070"/>
      <c r="L22" s="1071"/>
      <c r="M22" s="1072">
        <f t="shared" ref="M22:M23" si="0">SUM(F22:K22)</f>
        <v>6000</v>
      </c>
      <c r="N22" s="738"/>
      <c r="O22" s="738"/>
      <c r="P22" s="743"/>
      <c r="Q22" s="738"/>
      <c r="R22" s="832"/>
      <c r="S22" s="832"/>
      <c r="T22" s="832"/>
      <c r="U22" s="832"/>
      <c r="V22" s="832"/>
      <c r="W22" s="832"/>
      <c r="X22" s="1381" t="s">
        <v>965</v>
      </c>
      <c r="Y22" s="1381"/>
      <c r="Z22" s="1381"/>
      <c r="AA22" s="1381"/>
      <c r="AB22" s="1381"/>
      <c r="AC22" s="1381"/>
      <c r="AD22" s="1381"/>
      <c r="AE22" s="1381"/>
      <c r="AF22" s="1381"/>
      <c r="AG22" s="1381"/>
      <c r="AH22" s="1381"/>
      <c r="AI22" s="1381"/>
      <c r="AJ22" s="1381"/>
      <c r="AK22" s="1381"/>
      <c r="AL22" s="1381"/>
      <c r="AM22" s="1381"/>
    </row>
    <row r="23" spans="1:39" s="742" customFormat="1" ht="12.75">
      <c r="A23" s="739"/>
      <c r="B23" s="1078" t="s">
        <v>26</v>
      </c>
      <c r="C23" s="1079"/>
      <c r="D23" s="1079"/>
      <c r="E23" s="1079">
        <f>(E21/2)*0.05</f>
        <v>0</v>
      </c>
      <c r="F23" s="1079"/>
      <c r="G23" s="1079"/>
      <c r="H23" s="1079">
        <v>120</v>
      </c>
      <c r="I23" s="1079">
        <v>120</v>
      </c>
      <c r="J23" s="1079">
        <v>60</v>
      </c>
      <c r="K23" s="1079"/>
      <c r="L23" s="1082"/>
      <c r="M23" s="1080">
        <f t="shared" si="0"/>
        <v>300</v>
      </c>
      <c r="N23" s="738"/>
      <c r="O23" s="738"/>
      <c r="P23" s="743"/>
      <c r="Q23" s="738"/>
      <c r="R23" s="832"/>
      <c r="S23" s="832"/>
      <c r="T23" s="832"/>
      <c r="U23" s="832"/>
      <c r="V23" s="832"/>
      <c r="W23" s="832"/>
      <c r="X23" s="1381"/>
      <c r="Y23" s="1381"/>
      <c r="Z23" s="1381"/>
      <c r="AA23" s="1381"/>
      <c r="AB23" s="1381"/>
      <c r="AC23" s="1381"/>
      <c r="AD23" s="1381"/>
      <c r="AE23" s="1381"/>
      <c r="AF23" s="1381"/>
      <c r="AG23" s="1381"/>
      <c r="AH23" s="1381"/>
      <c r="AI23" s="1381"/>
      <c r="AJ23" s="1381"/>
      <c r="AK23" s="1381"/>
      <c r="AL23" s="1381"/>
      <c r="AM23" s="1381"/>
    </row>
    <row r="24" spans="1:39" s="742" customFormat="1" ht="12.75">
      <c r="A24" s="739"/>
      <c r="B24" s="1086" t="s">
        <v>703</v>
      </c>
      <c r="C24" s="1066"/>
      <c r="D24" s="1066"/>
      <c r="E24" s="1066"/>
      <c r="F24" s="1066">
        <v>0</v>
      </c>
      <c r="G24" s="1066">
        <v>0</v>
      </c>
      <c r="H24" s="1066"/>
      <c r="I24" s="1066"/>
      <c r="J24" s="1066"/>
      <c r="K24" s="1066"/>
      <c r="L24" s="1067"/>
      <c r="M24" s="1077">
        <f>SUM(E24:K24)</f>
        <v>0</v>
      </c>
      <c r="N24" s="738"/>
      <c r="O24" s="738"/>
      <c r="P24" s="743"/>
      <c r="Q24" s="738"/>
      <c r="R24" s="832"/>
      <c r="S24" s="832"/>
      <c r="T24" s="832"/>
      <c r="U24" s="832"/>
      <c r="V24" s="832"/>
      <c r="W24" s="832"/>
      <c r="X24" s="1381" t="s">
        <v>840</v>
      </c>
      <c r="Y24" s="1381"/>
      <c r="Z24" s="1381"/>
      <c r="AA24" s="1381"/>
      <c r="AB24" s="1381"/>
      <c r="AC24" s="1381"/>
      <c r="AD24" s="1381"/>
      <c r="AE24" s="1381"/>
      <c r="AF24" s="1381"/>
      <c r="AG24" s="1381"/>
      <c r="AH24" s="1381"/>
      <c r="AI24" s="1381"/>
      <c r="AJ24" s="1381"/>
      <c r="AK24" s="1381"/>
      <c r="AL24" s="1381"/>
      <c r="AM24" s="1381"/>
    </row>
    <row r="25" spans="1:39" s="742" customFormat="1" ht="12.75">
      <c r="A25" s="739"/>
      <c r="B25" s="1069" t="s">
        <v>24</v>
      </c>
      <c r="C25" s="1070"/>
      <c r="D25" s="1070"/>
      <c r="E25" s="1070"/>
      <c r="F25" s="1070"/>
      <c r="G25" s="1070">
        <v>0</v>
      </c>
      <c r="H25" s="1070">
        <f>(2000*0)+1700</f>
        <v>1700</v>
      </c>
      <c r="I25" s="1070">
        <v>0</v>
      </c>
      <c r="J25" s="1070"/>
      <c r="K25" s="1070"/>
      <c r="L25" s="1071"/>
      <c r="M25" s="1072">
        <f t="shared" ref="M25" si="1">SUM(E25:K25)</f>
        <v>1700</v>
      </c>
      <c r="N25" s="738"/>
      <c r="O25" s="738">
        <f>M9+O43</f>
        <v>115314</v>
      </c>
      <c r="P25" s="743"/>
      <c r="Q25" s="738"/>
      <c r="R25" s="832"/>
      <c r="S25" s="832"/>
      <c r="T25" s="832"/>
      <c r="U25" s="832"/>
      <c r="V25" s="832"/>
      <c r="W25" s="832"/>
      <c r="X25" s="1381"/>
      <c r="Y25" s="1381"/>
      <c r="Z25" s="1381"/>
      <c r="AA25" s="1382"/>
      <c r="AB25" s="1381"/>
      <c r="AC25" s="1381"/>
      <c r="AD25" s="1381"/>
      <c r="AE25" s="1381"/>
      <c r="AF25" s="1381"/>
      <c r="AG25" s="1381"/>
      <c r="AH25" s="1381"/>
      <c r="AI25" s="1381"/>
      <c r="AJ25" s="1381"/>
      <c r="AK25" s="1381"/>
      <c r="AL25" s="1381"/>
      <c r="AM25" s="1381"/>
    </row>
    <row r="26" spans="1:39" s="742" customFormat="1" ht="12.75">
      <c r="A26" s="739"/>
      <c r="B26" s="1069" t="s">
        <v>25</v>
      </c>
      <c r="C26" s="1070"/>
      <c r="D26" s="1070"/>
      <c r="E26" s="1070"/>
      <c r="F26" s="1070"/>
      <c r="G26" s="1070">
        <v>0</v>
      </c>
      <c r="H26" s="1070">
        <f>(G25-G26)/9</f>
        <v>0</v>
      </c>
      <c r="I26" s="1070">
        <v>400</v>
      </c>
      <c r="J26" s="1070">
        <v>400</v>
      </c>
      <c r="K26" s="1070">
        <v>400</v>
      </c>
      <c r="L26" s="1071">
        <v>400</v>
      </c>
      <c r="M26" s="1072">
        <f>SUM(E26:L26)</f>
        <v>1600</v>
      </c>
      <c r="N26" s="738"/>
      <c r="O26" s="738">
        <f>N13+I44</f>
        <v>35200</v>
      </c>
      <c r="P26" s="743"/>
      <c r="Q26" s="738"/>
      <c r="R26" s="832"/>
      <c r="S26" s="832"/>
      <c r="T26" s="832"/>
      <c r="U26" s="832"/>
      <c r="V26" s="832"/>
      <c r="W26" s="832"/>
      <c r="X26" s="1381">
        <f>412+424</f>
        <v>836</v>
      </c>
      <c r="Y26" s="1382">
        <f>M26+X26</f>
        <v>2436</v>
      </c>
      <c r="Z26" s="1381"/>
      <c r="AA26" s="1383"/>
      <c r="AB26" s="1381"/>
      <c r="AC26" s="1381"/>
      <c r="AD26" s="1381"/>
      <c r="AE26" s="1381"/>
      <c r="AF26" s="1381"/>
      <c r="AG26" s="1381"/>
      <c r="AH26" s="1381"/>
      <c r="AI26" s="1381"/>
      <c r="AJ26" s="1381"/>
      <c r="AK26" s="1381"/>
      <c r="AL26" s="1381"/>
      <c r="AM26" s="1381"/>
    </row>
    <row r="27" spans="1:39" s="742" customFormat="1" ht="12.75">
      <c r="A27" s="739"/>
      <c r="B27" s="1078" t="s">
        <v>26</v>
      </c>
      <c r="C27" s="1079"/>
      <c r="D27" s="1079"/>
      <c r="E27" s="1079"/>
      <c r="F27" s="1079"/>
      <c r="G27" s="1079">
        <f>(G25-((G26/12)*3))*3%</f>
        <v>0</v>
      </c>
      <c r="H27" s="1079">
        <f>(G25-((H26+G26)/2))*3%</f>
        <v>0</v>
      </c>
      <c r="I27" s="1079">
        <v>60</v>
      </c>
      <c r="J27" s="1079">
        <v>50</v>
      </c>
      <c r="K27" s="1079">
        <v>36</v>
      </c>
      <c r="L27" s="1082">
        <v>20</v>
      </c>
      <c r="M27" s="1080">
        <f>SUM(E27:L27)</f>
        <v>166</v>
      </c>
      <c r="N27" s="738"/>
      <c r="O27" s="738"/>
      <c r="P27" s="881" t="s">
        <v>693</v>
      </c>
      <c r="Q27" s="882">
        <v>2019</v>
      </c>
      <c r="R27" s="883">
        <v>2020</v>
      </c>
      <c r="S27" s="883">
        <v>2021</v>
      </c>
      <c r="T27" s="883">
        <v>2022</v>
      </c>
      <c r="U27" s="883">
        <v>2023</v>
      </c>
      <c r="V27" s="883">
        <v>2024</v>
      </c>
      <c r="W27" s="884" t="s">
        <v>357</v>
      </c>
      <c r="X27" s="1381">
        <f>20+7</f>
        <v>27</v>
      </c>
      <c r="Y27" s="1382">
        <f>M27+X27</f>
        <v>193</v>
      </c>
      <c r="Z27" s="1381"/>
      <c r="AA27" s="1381"/>
      <c r="AB27" s="1381"/>
      <c r="AC27" s="1381"/>
      <c r="AD27" s="1381"/>
      <c r="AE27" s="1381"/>
      <c r="AF27" s="1381"/>
      <c r="AG27" s="1381"/>
      <c r="AH27" s="1381"/>
      <c r="AI27" s="1381"/>
      <c r="AJ27" s="1381"/>
      <c r="AK27" s="1381"/>
      <c r="AL27" s="1381"/>
      <c r="AM27" s="1381"/>
    </row>
    <row r="28" spans="1:39" s="742" customFormat="1" ht="12.75">
      <c r="A28" s="739"/>
      <c r="B28" s="1086" t="s">
        <v>842</v>
      </c>
      <c r="C28" s="1361"/>
      <c r="D28" s="1361"/>
      <c r="E28" s="1361"/>
      <c r="F28" s="1361"/>
      <c r="G28" s="1361"/>
      <c r="H28" s="1361"/>
      <c r="I28" s="1361"/>
      <c r="J28" s="1362"/>
      <c r="K28" s="1362"/>
      <c r="L28" s="1362"/>
      <c r="M28" s="1363"/>
      <c r="N28" s="738"/>
      <c r="O28" s="738"/>
      <c r="P28" s="881"/>
      <c r="Q28" s="882"/>
      <c r="R28" s="883"/>
      <c r="S28" s="883"/>
      <c r="T28" s="883"/>
      <c r="U28" s="883"/>
      <c r="V28" s="883"/>
      <c r="W28" s="884"/>
      <c r="X28" s="1381"/>
      <c r="Y28" s="1382"/>
      <c r="Z28" s="1381"/>
      <c r="AA28" s="1381"/>
      <c r="AB28" s="1381"/>
      <c r="AC28" s="1381"/>
      <c r="AD28" s="1381"/>
      <c r="AE28" s="1381"/>
      <c r="AF28" s="1381"/>
      <c r="AG28" s="1381"/>
      <c r="AH28" s="1381"/>
      <c r="AI28" s="1381"/>
      <c r="AJ28" s="1381"/>
      <c r="AK28" s="1381"/>
      <c r="AL28" s="1381"/>
      <c r="AM28" s="1381"/>
    </row>
    <row r="29" spans="1:39" s="742" customFormat="1" ht="12.75">
      <c r="A29" s="739"/>
      <c r="B29" s="1069" t="s">
        <v>24</v>
      </c>
      <c r="C29" s="1361"/>
      <c r="D29" s="1361"/>
      <c r="E29" s="1361"/>
      <c r="F29" s="1361"/>
      <c r="G29" s="1361"/>
      <c r="H29" s="1361"/>
      <c r="I29" s="1361">
        <v>7000</v>
      </c>
      <c r="J29" s="1362">
        <v>7000</v>
      </c>
      <c r="K29" s="1362"/>
      <c r="L29" s="1362"/>
      <c r="M29" s="1363">
        <f>I29+J29+K29+L29</f>
        <v>14000</v>
      </c>
      <c r="N29" s="738"/>
      <c r="O29" s="738"/>
      <c r="P29" s="881"/>
      <c r="Q29" s="882"/>
      <c r="R29" s="883"/>
      <c r="S29" s="883"/>
      <c r="T29" s="883"/>
      <c r="U29" s="883"/>
      <c r="V29" s="883"/>
      <c r="W29" s="884"/>
      <c r="X29" s="1381" t="s">
        <v>843</v>
      </c>
      <c r="Y29" s="1382"/>
      <c r="Z29" s="1381"/>
      <c r="AA29" s="1381"/>
      <c r="AB29" s="1381"/>
      <c r="AC29" s="1381"/>
      <c r="AD29" s="1381"/>
      <c r="AE29" s="1381"/>
      <c r="AF29" s="1381"/>
      <c r="AG29" s="1381"/>
      <c r="AH29" s="1381"/>
      <c r="AI29" s="1381"/>
      <c r="AJ29" s="1381"/>
      <c r="AK29" s="1381"/>
      <c r="AL29" s="1381"/>
      <c r="AM29" s="1381"/>
    </row>
    <row r="30" spans="1:39" s="742" customFormat="1" ht="12.75">
      <c r="A30" s="739"/>
      <c r="B30" s="1069" t="s">
        <v>25</v>
      </c>
      <c r="C30" s="1361"/>
      <c r="D30" s="1361"/>
      <c r="E30" s="1361"/>
      <c r="F30" s="1361"/>
      <c r="G30" s="1361"/>
      <c r="H30" s="1361"/>
      <c r="I30" s="1361"/>
      <c r="J30" s="1362"/>
      <c r="K30" s="1362">
        <v>1000</v>
      </c>
      <c r="L30" s="1362">
        <v>1000</v>
      </c>
      <c r="M30" s="1363"/>
      <c r="N30" s="738"/>
      <c r="O30" s="738"/>
      <c r="P30" s="881"/>
      <c r="Q30" s="882"/>
      <c r="R30" s="883"/>
      <c r="S30" s="883"/>
      <c r="T30" s="883"/>
      <c r="U30" s="883"/>
      <c r="V30" s="883"/>
      <c r="W30" s="884"/>
      <c r="X30" s="1381"/>
      <c r="Y30" s="1382"/>
      <c r="Z30" s="1381"/>
      <c r="AA30" s="1381"/>
      <c r="AB30" s="1381"/>
      <c r="AC30" s="1381"/>
      <c r="AD30" s="1381"/>
      <c r="AE30" s="1381"/>
      <c r="AF30" s="1381"/>
      <c r="AG30" s="1381"/>
      <c r="AH30" s="1381"/>
      <c r="AI30" s="1381"/>
      <c r="AJ30" s="1381"/>
      <c r="AK30" s="1381"/>
      <c r="AL30" s="1381"/>
      <c r="AM30" s="1381"/>
    </row>
    <row r="31" spans="1:39" s="742" customFormat="1" ht="12.75">
      <c r="A31" s="739"/>
      <c r="B31" s="1078" t="s">
        <v>26</v>
      </c>
      <c r="C31" s="1361"/>
      <c r="D31" s="1361"/>
      <c r="E31" s="1361"/>
      <c r="F31" s="1361"/>
      <c r="G31" s="1361"/>
      <c r="H31" s="1361"/>
      <c r="I31" s="1361"/>
      <c r="J31" s="1362"/>
      <c r="K31" s="1362"/>
      <c r="L31" s="1362"/>
      <c r="M31" s="1363"/>
      <c r="N31" s="738"/>
      <c r="O31" s="738"/>
      <c r="P31" s="881"/>
      <c r="Q31" s="882"/>
      <c r="R31" s="883"/>
      <c r="S31" s="883"/>
      <c r="T31" s="883"/>
      <c r="U31" s="883"/>
      <c r="V31" s="883"/>
      <c r="W31" s="884"/>
      <c r="X31" s="1381"/>
      <c r="Y31" s="1382"/>
      <c r="Z31" s="1381"/>
      <c r="AA31" s="1381"/>
      <c r="AB31" s="1381"/>
      <c r="AC31" s="1381"/>
      <c r="AD31" s="1381"/>
      <c r="AE31" s="1381"/>
      <c r="AF31" s="1381"/>
      <c r="AG31" s="1381"/>
      <c r="AH31" s="1381"/>
      <c r="AI31" s="1381"/>
      <c r="AJ31" s="1381"/>
      <c r="AK31" s="1381"/>
      <c r="AL31" s="1381"/>
      <c r="AM31" s="1381"/>
    </row>
    <row r="32" spans="1:39" s="742" customFormat="1" ht="36">
      <c r="A32" s="739"/>
      <c r="B32" s="1081" t="s">
        <v>808</v>
      </c>
      <c r="C32" s="1066"/>
      <c r="D32" s="1066"/>
      <c r="E32" s="1066"/>
      <c r="F32" s="1066"/>
      <c r="G32" s="1066"/>
      <c r="H32" s="1066"/>
      <c r="I32" s="1066"/>
      <c r="J32" s="1067"/>
      <c r="K32" s="1067"/>
      <c r="L32" s="1067"/>
      <c r="M32" s="1077"/>
      <c r="N32" s="738"/>
      <c r="O32" s="738"/>
      <c r="P32" s="738"/>
      <c r="Q32" s="738"/>
      <c r="R32" s="832"/>
      <c r="S32" s="832">
        <f>E9+F9+G9+H9+E13+F13+G13+H13</f>
        <v>39500</v>
      </c>
      <c r="T32" s="832"/>
      <c r="U32" s="832"/>
      <c r="V32" s="832"/>
      <c r="W32" s="832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1"/>
      <c r="AL32" s="1381"/>
      <c r="AM32" s="1381"/>
    </row>
    <row r="33" spans="1:39" s="742" customFormat="1" ht="12.75">
      <c r="A33" s="739"/>
      <c r="B33" s="1069" t="s">
        <v>24</v>
      </c>
      <c r="C33" s="1070">
        <v>4896</v>
      </c>
      <c r="D33" s="1070">
        <v>15128</v>
      </c>
      <c r="E33" s="1070">
        <f>555*0</f>
        <v>0</v>
      </c>
      <c r="F33" s="1070">
        <v>1850</v>
      </c>
      <c r="G33" s="1070">
        <v>2151</v>
      </c>
      <c r="H33" s="1070">
        <f>3314-G33</f>
        <v>1163</v>
      </c>
      <c r="I33" s="1070"/>
      <c r="J33" s="1071"/>
      <c r="K33" s="1071"/>
      <c r="L33" s="1071"/>
      <c r="M33" s="1072">
        <f>SUM(C33:K33)</f>
        <v>25188</v>
      </c>
      <c r="N33" s="738"/>
      <c r="O33" s="738"/>
      <c r="P33" s="738">
        <v>176897</v>
      </c>
      <c r="Q33" s="738"/>
      <c r="R33" s="832"/>
      <c r="S33" s="832"/>
      <c r="T33" s="832"/>
      <c r="U33" s="832"/>
      <c r="V33" s="832"/>
      <c r="W33" s="832"/>
      <c r="X33" s="1381"/>
      <c r="Y33" s="1381"/>
      <c r="Z33" s="1381"/>
      <c r="AA33" s="1381"/>
      <c r="AB33" s="1381"/>
      <c r="AC33" s="1381"/>
      <c r="AD33" s="1381"/>
      <c r="AE33" s="1381"/>
      <c r="AF33" s="1381"/>
      <c r="AG33" s="1381"/>
      <c r="AH33" s="1381"/>
      <c r="AI33" s="1381"/>
      <c r="AJ33" s="1381"/>
      <c r="AK33" s="1381"/>
      <c r="AL33" s="1381"/>
      <c r="AM33" s="1381"/>
    </row>
    <row r="34" spans="1:39" s="742" customFormat="1" ht="12.75">
      <c r="A34" s="739"/>
      <c r="B34" s="1069" t="s">
        <v>25</v>
      </c>
      <c r="C34" s="1070"/>
      <c r="D34" s="1070">
        <v>153</v>
      </c>
      <c r="E34" s="1070">
        <f>1549.6-D34</f>
        <v>1397</v>
      </c>
      <c r="F34" s="1070">
        <f>'[5]Kredyty i pożyczki_31.12.2019'!$N$21</f>
        <v>2167</v>
      </c>
      <c r="G34" s="1070">
        <f>'[5]Kredyty i pożyczki_31.12.2019'!$O$21</f>
        <v>2480</v>
      </c>
      <c r="H34" s="1070">
        <f>'[5]Kredyty i pożyczki_31.12.2019'!$P$21</f>
        <v>2530</v>
      </c>
      <c r="I34" s="1070">
        <f>'[5]Kredyty i pożyczki_31.12.2019'!$Q$21</f>
        <v>2880</v>
      </c>
      <c r="J34" s="1071">
        <f>'[5]Kredyty i pożyczki_31.12.2019'!$R$21</f>
        <v>2880</v>
      </c>
      <c r="K34" s="1071">
        <v>2880</v>
      </c>
      <c r="L34" s="1071">
        <v>2880</v>
      </c>
      <c r="M34" s="1072">
        <f>SUM(C34:K34)</f>
        <v>17367</v>
      </c>
      <c r="N34" s="738"/>
      <c r="O34" s="738"/>
      <c r="P34" s="738">
        <f>M9</f>
        <v>40300</v>
      </c>
      <c r="Q34" s="739"/>
      <c r="X34" s="1381"/>
      <c r="Y34" s="1381"/>
      <c r="Z34" s="1381"/>
      <c r="AA34" s="1381"/>
      <c r="AB34" s="1381"/>
      <c r="AC34" s="1381"/>
      <c r="AD34" s="1381"/>
      <c r="AE34" s="1381"/>
      <c r="AF34" s="1381"/>
      <c r="AG34" s="1381"/>
      <c r="AH34" s="1381"/>
      <c r="AI34" s="1381"/>
      <c r="AJ34" s="1381"/>
      <c r="AK34" s="1381"/>
      <c r="AL34" s="1381"/>
      <c r="AM34" s="1381"/>
    </row>
    <row r="35" spans="1:39" s="742" customFormat="1" ht="12.75">
      <c r="A35" s="739"/>
      <c r="B35" s="1078" t="s">
        <v>26</v>
      </c>
      <c r="C35" s="1079">
        <v>147</v>
      </c>
      <c r="D35" s="1079">
        <v>369</v>
      </c>
      <c r="E35" s="1079">
        <v>571</v>
      </c>
      <c r="F35" s="1079">
        <v>481</v>
      </c>
      <c r="G35" s="1079">
        <f>(C33+D33+E33+(F33/2)+(G33)-D34-E34-F34-G34)*0.03</f>
        <v>507</v>
      </c>
      <c r="H35" s="1079">
        <f>(C33+D33+E33+(F33/2)+(G33)-D34-E34-F34-G34-H34)*0.03</f>
        <v>431</v>
      </c>
      <c r="I35" s="1079">
        <f>(C33+D33+E33+(F33/2)+G33-D34-E34-F34-G34-H34-I34)*0.03</f>
        <v>345</v>
      </c>
      <c r="J35" s="1079">
        <f>(C33+D33+E33+(F33/2)+G33-D34-E34-F34-G34-H34-I34-J34)*0.03</f>
        <v>258</v>
      </c>
      <c r="K35" s="1082">
        <v>290</v>
      </c>
      <c r="L35" s="1082">
        <v>290</v>
      </c>
      <c r="M35" s="1080">
        <f>SUM(C35:K35)</f>
        <v>3399</v>
      </c>
      <c r="N35" s="738"/>
      <c r="O35" s="738" t="s">
        <v>605</v>
      </c>
      <c r="P35" s="738">
        <f>M13</f>
        <v>0</v>
      </c>
      <c r="Q35" s="739"/>
      <c r="X35" s="1381"/>
      <c r="Y35" s="1381"/>
      <c r="Z35" s="1381"/>
      <c r="AA35" s="1381"/>
      <c r="AB35" s="1381"/>
      <c r="AC35" s="1381"/>
      <c r="AD35" s="1381"/>
      <c r="AE35" s="1381"/>
      <c r="AF35" s="1381"/>
      <c r="AG35" s="1381"/>
      <c r="AH35" s="1381"/>
      <c r="AI35" s="1381"/>
      <c r="AJ35" s="1381"/>
      <c r="AK35" s="1381"/>
      <c r="AL35" s="1381"/>
      <c r="AM35" s="1381"/>
    </row>
    <row r="36" spans="1:39">
      <c r="B36" s="1065" t="s">
        <v>23</v>
      </c>
      <c r="C36" s="1066"/>
      <c r="D36" s="1066"/>
      <c r="E36" s="1066"/>
      <c r="F36" s="1066"/>
      <c r="G36" s="1066"/>
      <c r="H36" s="1067"/>
      <c r="I36" s="1067"/>
      <c r="J36" s="1067"/>
      <c r="K36" s="1067"/>
      <c r="L36" s="1067"/>
      <c r="M36" s="1068"/>
      <c r="P36" s="738">
        <f>SUM(P34:P35)</f>
        <v>40300</v>
      </c>
    </row>
    <row r="37" spans="1:39">
      <c r="B37" s="1069" t="s">
        <v>24</v>
      </c>
      <c r="C37" s="1070">
        <f t="shared" ref="C37:K37" si="2">C5+C9+C13+C21+C25+C33+C17+C29</f>
        <v>4896</v>
      </c>
      <c r="D37" s="1070">
        <f t="shared" si="2"/>
        <v>15928</v>
      </c>
      <c r="E37" s="1070">
        <f t="shared" si="2"/>
        <v>9435</v>
      </c>
      <c r="F37" s="1070">
        <f t="shared" si="2"/>
        <v>15480</v>
      </c>
      <c r="G37" s="1070">
        <f t="shared" si="2"/>
        <v>16086</v>
      </c>
      <c r="H37" s="1070">
        <f>H5+H9+H13+H21+H25+H33+H17+H29</f>
        <v>11363</v>
      </c>
      <c r="I37" s="1070">
        <f t="shared" si="2"/>
        <v>12100</v>
      </c>
      <c r="J37" s="1070">
        <f>J5+J9+J13+J21+J25+J33+J17+J29</f>
        <v>13100</v>
      </c>
      <c r="K37" s="1070">
        <f t="shared" si="2"/>
        <v>7200</v>
      </c>
      <c r="L37" s="1070">
        <f>L5+L9+L13+L21+L25+L33+L17+L29</f>
        <v>12800</v>
      </c>
      <c r="M37" s="1072">
        <f>SUM(C37:K37)</f>
        <v>105588</v>
      </c>
      <c r="O37" s="743">
        <f>F37+G37+H37+I37+J37</f>
        <v>68129</v>
      </c>
      <c r="P37" s="738">
        <f>P33-P36</f>
        <v>136597</v>
      </c>
      <c r="X37" s="1384"/>
    </row>
    <row r="38" spans="1:39">
      <c r="B38" s="1069" t="s">
        <v>25</v>
      </c>
      <c r="C38" s="1070">
        <f t="shared" ref="C38:L38" si="3">C6+C10+C34+C14+C18+C22+C30</f>
        <v>3501</v>
      </c>
      <c r="D38" s="1070">
        <f t="shared" si="3"/>
        <v>5988</v>
      </c>
      <c r="E38" s="1070">
        <f t="shared" si="3"/>
        <v>6065</v>
      </c>
      <c r="F38" s="1070">
        <f t="shared" si="3"/>
        <v>6044</v>
      </c>
      <c r="G38" s="1070">
        <f t="shared" si="3"/>
        <v>2480</v>
      </c>
      <c r="H38" s="1070">
        <f t="shared" si="3"/>
        <v>5966</v>
      </c>
      <c r="I38" s="1070">
        <f t="shared" si="3"/>
        <v>7316</v>
      </c>
      <c r="J38" s="1070">
        <f t="shared" si="3"/>
        <v>11316</v>
      </c>
      <c r="K38" s="1070">
        <f t="shared" si="3"/>
        <v>7316</v>
      </c>
      <c r="L38" s="1070">
        <f t="shared" si="3"/>
        <v>7316</v>
      </c>
      <c r="M38" s="1072">
        <f>SUM(C38:L38)</f>
        <v>63308</v>
      </c>
    </row>
    <row r="39" spans="1:39">
      <c r="B39" s="1069" t="s">
        <v>26</v>
      </c>
      <c r="C39" s="1070">
        <f t="shared" ref="C39:L39" si="4">C7+C11+C35+C15+C19+C23+C27</f>
        <v>287</v>
      </c>
      <c r="D39" s="1070">
        <f t="shared" si="4"/>
        <v>479</v>
      </c>
      <c r="E39" s="1070">
        <f t="shared" si="4"/>
        <v>631</v>
      </c>
      <c r="F39" s="1070">
        <f t="shared" si="4"/>
        <v>506</v>
      </c>
      <c r="G39" s="1070">
        <f t="shared" si="4"/>
        <v>1193</v>
      </c>
      <c r="H39" s="1070">
        <f t="shared" si="4"/>
        <v>1281</v>
      </c>
      <c r="I39" s="1070">
        <f t="shared" si="4"/>
        <v>1283</v>
      </c>
      <c r="J39" s="1070">
        <f t="shared" si="4"/>
        <v>1228</v>
      </c>
      <c r="K39" s="1070">
        <f t="shared" si="4"/>
        <v>1321</v>
      </c>
      <c r="L39" s="1070">
        <f t="shared" si="4"/>
        <v>1557</v>
      </c>
      <c r="M39" s="1072">
        <f>SUM(C39:L39)</f>
        <v>9766</v>
      </c>
      <c r="O39" s="743">
        <f>F9+G9+I13+G25</f>
        <v>27565</v>
      </c>
    </row>
    <row r="40" spans="1:39">
      <c r="B40" s="1078" t="s">
        <v>27</v>
      </c>
      <c r="C40" s="1079">
        <f>C11+C35</f>
        <v>147</v>
      </c>
      <c r="D40" s="1079">
        <f>D11+D35</f>
        <v>369</v>
      </c>
      <c r="E40" s="1079">
        <f>E35/4</f>
        <v>143</v>
      </c>
      <c r="F40" s="1079">
        <f>F11</f>
        <v>0</v>
      </c>
      <c r="G40" s="1079">
        <f t="shared" ref="G40" si="5">G11</f>
        <v>686</v>
      </c>
      <c r="H40" s="1079">
        <f>H11/4</f>
        <v>183</v>
      </c>
      <c r="I40" s="1082"/>
      <c r="J40" s="1082"/>
      <c r="K40" s="1082"/>
      <c r="L40" s="1082"/>
      <c r="M40" s="1080"/>
    </row>
    <row r="41" spans="1:39" ht="6" customHeight="1">
      <c r="C41" s="886"/>
      <c r="D41" s="886"/>
      <c r="E41" s="886"/>
      <c r="F41" s="886"/>
      <c r="G41" s="886"/>
      <c r="H41" s="886"/>
      <c r="I41" s="886"/>
      <c r="J41" s="886"/>
      <c r="K41" s="886"/>
      <c r="L41" s="886"/>
    </row>
    <row r="42" spans="1:39">
      <c r="B42" s="1065" t="s">
        <v>28</v>
      </c>
      <c r="C42" s="1066"/>
      <c r="D42" s="1066"/>
      <c r="E42" s="1066"/>
      <c r="F42" s="1066"/>
      <c r="G42" s="1066"/>
      <c r="H42" s="1066"/>
      <c r="I42" s="1066"/>
      <c r="J42" s="1066"/>
      <c r="K42" s="1066"/>
      <c r="L42" s="1067"/>
      <c r="M42" s="1077"/>
      <c r="O42" s="738">
        <f>SUM(C42:N42)</f>
        <v>0</v>
      </c>
    </row>
    <row r="43" spans="1:39">
      <c r="B43" s="1069" t="s">
        <v>517</v>
      </c>
      <c r="C43" s="1070">
        <f>3274*0+3772472.09/1000</f>
        <v>3772</v>
      </c>
      <c r="D43" s="1070">
        <v>14896</v>
      </c>
      <c r="E43" s="1070">
        <v>17723</v>
      </c>
      <c r="F43" s="1070">
        <f>31039*0+31098</f>
        <v>31098</v>
      </c>
      <c r="G43" s="1070">
        <v>2299</v>
      </c>
      <c r="H43" s="1070">
        <f>2938+1862</f>
        <v>4800</v>
      </c>
      <c r="I43" s="1070">
        <f>75772-SUM(C43:H43)-J43</f>
        <v>426</v>
      </c>
      <c r="J43" s="1070">
        <v>758</v>
      </c>
      <c r="K43" s="1070"/>
      <c r="L43" s="1071"/>
      <c r="M43" s="1072"/>
      <c r="O43" s="738">
        <f>SUM(C43:I43)</f>
        <v>75014</v>
      </c>
      <c r="Q43" s="886"/>
      <c r="R43" s="738">
        <f>3574.55*0+73461320.92*0.05/1000</f>
        <v>3673.07</v>
      </c>
      <c r="S43" s="886">
        <f>71491*0+73461</f>
        <v>73461</v>
      </c>
      <c r="Z43" s="1384"/>
    </row>
    <row r="44" spans="1:39" s="1373" customFormat="1" ht="24">
      <c r="A44" s="1365"/>
      <c r="B44" s="1366" t="s">
        <v>813</v>
      </c>
      <c r="C44" s="1367"/>
      <c r="D44" s="1367"/>
      <c r="E44" s="1368">
        <v>0</v>
      </c>
      <c r="F44" s="1368">
        <v>0</v>
      </c>
      <c r="G44" s="1368">
        <v>0</v>
      </c>
      <c r="H44" s="1368">
        <v>0</v>
      </c>
      <c r="I44" s="1368">
        <v>22000</v>
      </c>
      <c r="J44" s="1368">
        <v>28000</v>
      </c>
      <c r="K44" s="1368">
        <f>10064-1700</f>
        <v>8364</v>
      </c>
      <c r="L44" s="1369">
        <f>607*0</f>
        <v>0</v>
      </c>
      <c r="M44" s="1370">
        <f>SUM(I44:L44)</f>
        <v>58364</v>
      </c>
      <c r="N44" s="1371"/>
      <c r="O44" s="1371">
        <f>SUM(C44:L44)</f>
        <v>58364</v>
      </c>
      <c r="P44" s="1371"/>
      <c r="Q44" s="1372"/>
      <c r="R44" s="1371"/>
      <c r="S44" s="1372">
        <v>24301</v>
      </c>
      <c r="X44" s="1385"/>
      <c r="Y44" s="1385"/>
      <c r="Z44" s="1385"/>
      <c r="AA44" s="1385"/>
      <c r="AB44" s="1385"/>
      <c r="AC44" s="1385"/>
      <c r="AD44" s="1385"/>
      <c r="AE44" s="1385"/>
      <c r="AF44" s="1385"/>
      <c r="AG44" s="1385"/>
      <c r="AH44" s="1385"/>
      <c r="AI44" s="1385"/>
      <c r="AJ44" s="1385"/>
      <c r="AK44" s="1385"/>
      <c r="AL44" s="1385"/>
      <c r="AM44" s="1385"/>
    </row>
    <row r="45" spans="1:39" ht="24">
      <c r="B45" s="1374" t="s">
        <v>718</v>
      </c>
      <c r="C45" s="1083"/>
      <c r="D45" s="1083"/>
      <c r="E45" s="1084"/>
      <c r="F45" s="1084"/>
      <c r="G45" s="1084"/>
      <c r="H45" s="1084"/>
      <c r="I45" s="1084"/>
      <c r="J45" s="1084">
        <f>'T1 wodociag 2022-2026'!P70</f>
        <v>2040</v>
      </c>
      <c r="K45" s="1084"/>
      <c r="L45" s="1094"/>
      <c r="M45" s="1085"/>
      <c r="O45" s="738">
        <f>SUM(C45:M45)</f>
        <v>2040</v>
      </c>
      <c r="P45" s="738">
        <f>815677/1000</f>
        <v>815.68</v>
      </c>
      <c r="X45" s="1379" t="s">
        <v>859</v>
      </c>
    </row>
    <row r="46" spans="1:39" s="885" customFormat="1" ht="15">
      <c r="A46" s="887"/>
      <c r="B46" s="1086" t="s">
        <v>717</v>
      </c>
      <c r="C46" s="1087"/>
      <c r="D46" s="1087"/>
      <c r="E46" s="1087"/>
      <c r="F46" s="1087">
        <v>0</v>
      </c>
      <c r="G46" s="1087">
        <v>0</v>
      </c>
      <c r="H46" s="1087">
        <v>5000</v>
      </c>
      <c r="I46" s="1087">
        <v>5000</v>
      </c>
      <c r="J46" s="1087"/>
      <c r="K46" s="1087"/>
      <c r="L46" s="1138"/>
      <c r="M46" s="1088"/>
      <c r="N46" s="743"/>
      <c r="O46" s="743"/>
      <c r="P46" s="743"/>
      <c r="Q46" s="887"/>
      <c r="X46" s="1386"/>
      <c r="Y46" s="1387"/>
      <c r="Z46" s="1387"/>
      <c r="AA46" s="1387"/>
      <c r="AB46" s="1387"/>
      <c r="AC46" s="1387"/>
      <c r="AD46" s="1387"/>
      <c r="AE46" s="1387"/>
      <c r="AF46" s="1387"/>
      <c r="AG46" s="1387"/>
      <c r="AH46" s="1387"/>
      <c r="AI46" s="1387"/>
      <c r="AJ46" s="1387"/>
      <c r="AK46" s="1387"/>
      <c r="AL46" s="1387"/>
      <c r="AM46" s="1387"/>
    </row>
    <row r="47" spans="1:39" s="885" customFormat="1" ht="15">
      <c r="A47" s="887"/>
      <c r="B47" s="1089" t="s">
        <v>820</v>
      </c>
      <c r="C47" s="1090"/>
      <c r="D47" s="1090"/>
      <c r="E47" s="1090"/>
      <c r="F47" s="1090"/>
      <c r="G47" s="1090">
        <v>0</v>
      </c>
      <c r="H47" s="1090">
        <v>160</v>
      </c>
      <c r="I47" s="1090"/>
      <c r="J47" s="1090"/>
      <c r="K47" s="1090"/>
      <c r="L47" s="1139"/>
      <c r="M47" s="1091"/>
      <c r="N47" s="743"/>
      <c r="O47" s="743"/>
      <c r="P47" s="743"/>
      <c r="Q47" s="887"/>
      <c r="X47" s="1387"/>
      <c r="Y47" s="1387"/>
      <c r="Z47" s="1387"/>
      <c r="AA47" s="1387"/>
      <c r="AB47" s="1387"/>
      <c r="AC47" s="1387"/>
      <c r="AD47" s="1387"/>
      <c r="AE47" s="1387"/>
      <c r="AF47" s="1387"/>
      <c r="AG47" s="1387"/>
      <c r="AH47" s="1387"/>
      <c r="AI47" s="1387"/>
      <c r="AJ47" s="1387"/>
      <c r="AK47" s="1387"/>
      <c r="AL47" s="1387"/>
      <c r="AM47" s="1387"/>
    </row>
    <row r="48" spans="1:39" s="885" customFormat="1" ht="15">
      <c r="A48" s="887"/>
      <c r="B48" s="1375" t="s">
        <v>708</v>
      </c>
      <c r="C48" s="1083"/>
      <c r="D48" s="1083"/>
      <c r="E48" s="1083"/>
      <c r="F48" s="1083">
        <v>0</v>
      </c>
      <c r="G48" s="1083">
        <v>2890</v>
      </c>
      <c r="H48" s="1083">
        <v>300</v>
      </c>
      <c r="I48" s="1083"/>
      <c r="J48" s="1083"/>
      <c r="K48" s="1083"/>
      <c r="L48" s="1376"/>
      <c r="M48" s="1377"/>
      <c r="N48" s="743"/>
      <c r="O48" s="743"/>
      <c r="P48" s="743"/>
      <c r="Q48" s="887"/>
      <c r="X48" s="1387"/>
      <c r="Y48" s="1387"/>
      <c r="Z48" s="1387"/>
      <c r="AA48" s="1387"/>
      <c r="AB48" s="1387"/>
      <c r="AC48" s="1387"/>
      <c r="AD48" s="1387"/>
      <c r="AE48" s="1387"/>
      <c r="AF48" s="1387"/>
      <c r="AG48" s="1387"/>
      <c r="AH48" s="1387"/>
      <c r="AI48" s="1387"/>
      <c r="AJ48" s="1387"/>
      <c r="AK48" s="1387"/>
      <c r="AL48" s="1387"/>
      <c r="AM48" s="1387"/>
    </row>
    <row r="49" spans="1:39">
      <c r="B49" s="1065" t="s">
        <v>162</v>
      </c>
      <c r="C49" s="1066">
        <f>-615*0</f>
        <v>0</v>
      </c>
      <c r="D49" s="1066">
        <f>-615*0</f>
        <v>0</v>
      </c>
      <c r="E49" s="1066">
        <f>-615*0</f>
        <v>0</v>
      </c>
      <c r="F49" s="1066">
        <f>-615*0</f>
        <v>0</v>
      </c>
      <c r="G49" s="1066">
        <f>-615*0</f>
        <v>0</v>
      </c>
      <c r="H49" s="1066">
        <v>-615</v>
      </c>
      <c r="I49" s="1066"/>
      <c r="J49" s="1066"/>
      <c r="K49" s="1066"/>
      <c r="L49" s="1067"/>
      <c r="M49" s="1077"/>
    </row>
    <row r="50" spans="1:39">
      <c r="B50" s="1069" t="s">
        <v>163</v>
      </c>
      <c r="C50" s="1070">
        <f>-965*0</f>
        <v>0</v>
      </c>
      <c r="D50" s="1070">
        <f>-965*0</f>
        <v>0</v>
      </c>
      <c r="E50" s="1070">
        <f>-965*0</f>
        <v>0</v>
      </c>
      <c r="F50" s="1070">
        <f>-965*0</f>
        <v>0</v>
      </c>
      <c r="G50" s="1070">
        <f>-965*0</f>
        <v>0</v>
      </c>
      <c r="H50" s="1070">
        <v>-965</v>
      </c>
      <c r="I50" s="1070"/>
      <c r="J50" s="1070"/>
      <c r="K50" s="1070"/>
      <c r="L50" s="1071"/>
      <c r="M50" s="1072"/>
    </row>
    <row r="51" spans="1:39">
      <c r="B51" s="1378"/>
      <c r="C51" s="1092"/>
      <c r="D51" s="1070"/>
      <c r="E51" s="1070"/>
      <c r="F51" s="1070"/>
      <c r="G51" s="1070"/>
      <c r="H51" s="1070"/>
      <c r="I51" s="1070"/>
      <c r="J51" s="1070"/>
      <c r="K51" s="1070"/>
      <c r="L51" s="1071"/>
      <c r="M51" s="1072"/>
    </row>
    <row r="52" spans="1:39">
      <c r="B52" s="1078"/>
      <c r="C52" s="1079"/>
      <c r="D52" s="1079"/>
      <c r="E52" s="1079"/>
      <c r="F52" s="1079"/>
      <c r="G52" s="1079"/>
      <c r="H52" s="1079"/>
      <c r="I52" s="1079"/>
      <c r="J52" s="1079"/>
      <c r="K52" s="1079"/>
      <c r="L52" s="1082"/>
      <c r="M52" s="1080"/>
      <c r="O52" s="738">
        <f>SUM(C52:N52)</f>
        <v>0</v>
      </c>
    </row>
    <row r="53" spans="1:39" ht="6" customHeight="1">
      <c r="C53" s="886"/>
      <c r="D53" s="886"/>
      <c r="E53" s="886"/>
      <c r="F53" s="886"/>
      <c r="G53" s="886"/>
      <c r="H53" s="886"/>
      <c r="I53" s="886"/>
      <c r="J53" s="886"/>
      <c r="K53" s="886"/>
      <c r="L53" s="886"/>
    </row>
    <row r="54" spans="1:39" s="738" customFormat="1" ht="12">
      <c r="A54" s="739"/>
      <c r="B54" s="1093" t="s">
        <v>109</v>
      </c>
      <c r="C54" s="1084"/>
      <c r="D54" s="1084"/>
      <c r="E54" s="1084"/>
      <c r="F54" s="1084"/>
      <c r="G54" s="1084"/>
      <c r="H54" s="1094"/>
      <c r="I54" s="1094"/>
      <c r="J54" s="1094"/>
      <c r="K54" s="1094"/>
      <c r="L54" s="1094"/>
      <c r="M54" s="1095"/>
      <c r="N54" s="738" t="s">
        <v>30</v>
      </c>
      <c r="Q54" s="739"/>
      <c r="X54" s="1388"/>
      <c r="Y54" s="1388"/>
      <c r="Z54" s="1388"/>
      <c r="AA54" s="1388"/>
      <c r="AB54" s="1388"/>
      <c r="AC54" s="1388"/>
      <c r="AD54" s="1388"/>
      <c r="AE54" s="1388"/>
      <c r="AF54" s="1388"/>
      <c r="AG54" s="1388"/>
      <c r="AH54" s="1388"/>
      <c r="AI54" s="1388"/>
      <c r="AJ54" s="1388"/>
      <c r="AK54" s="1388"/>
      <c r="AL54" s="1388"/>
      <c r="AM54" s="1388"/>
    </row>
    <row r="55" spans="1:39" s="738" customFormat="1" ht="12">
      <c r="A55" s="739"/>
      <c r="B55" s="1093" t="s">
        <v>29</v>
      </c>
      <c r="C55" s="1084"/>
      <c r="D55" s="1084">
        <v>6000</v>
      </c>
      <c r="E55" s="1084">
        <v>-100</v>
      </c>
      <c r="F55" s="1084">
        <v>-1000</v>
      </c>
      <c r="G55" s="1084">
        <v>1000</v>
      </c>
      <c r="H55" s="1094">
        <v>1300</v>
      </c>
      <c r="I55" s="1094">
        <v>0</v>
      </c>
      <c r="J55" s="1094">
        <v>0</v>
      </c>
      <c r="K55" s="1094">
        <v>0</v>
      </c>
      <c r="L55" s="1094"/>
      <c r="M55" s="1095"/>
      <c r="N55" s="738" t="s">
        <v>30</v>
      </c>
      <c r="O55" s="738" t="e">
        <f>#REF!+#REF!+#REF!+#REF!+#REF!+#REF!+#REF!+C55+D55+E55+F55+G55+M55+H55+I55+M55</f>
        <v>#REF!</v>
      </c>
      <c r="Q55" s="739"/>
      <c r="X55" s="1388"/>
      <c r="Y55" s="1388"/>
      <c r="Z55" s="1388"/>
      <c r="AA55" s="1388"/>
      <c r="AB55" s="1388"/>
      <c r="AC55" s="1388"/>
      <c r="AD55" s="1388"/>
      <c r="AE55" s="1388"/>
      <c r="AF55" s="1388"/>
      <c r="AG55" s="1388"/>
      <c r="AH55" s="1388"/>
      <c r="AI55" s="1388"/>
      <c r="AJ55" s="1388"/>
      <c r="AK55" s="1388"/>
      <c r="AL55" s="1388"/>
      <c r="AM55" s="1388"/>
    </row>
    <row r="56" spans="1:39" s="738" customFormat="1" ht="9" customHeight="1">
      <c r="A56" s="739"/>
      <c r="B56" s="739"/>
      <c r="C56" s="886"/>
      <c r="D56" s="886"/>
      <c r="E56" s="886"/>
      <c r="F56" s="886"/>
      <c r="G56" s="886"/>
      <c r="H56" s="886"/>
      <c r="I56" s="886"/>
      <c r="J56" s="886"/>
      <c r="K56" s="886"/>
      <c r="L56" s="886"/>
      <c r="M56" s="739"/>
      <c r="Q56" s="739"/>
      <c r="X56" s="1388"/>
      <c r="Y56" s="1388"/>
      <c r="Z56" s="1388"/>
      <c r="AA56" s="1388"/>
      <c r="AB56" s="1388"/>
      <c r="AC56" s="1388"/>
      <c r="AD56" s="1388"/>
      <c r="AE56" s="1388"/>
      <c r="AF56" s="1388"/>
      <c r="AG56" s="1388"/>
      <c r="AH56" s="1388"/>
      <c r="AI56" s="1388"/>
      <c r="AJ56" s="1388"/>
      <c r="AK56" s="1388"/>
      <c r="AL56" s="1388"/>
      <c r="AM56" s="1388"/>
    </row>
    <row r="57" spans="1:39" s="1388" customFormat="1" ht="12">
      <c r="A57" s="1389"/>
      <c r="B57" s="1389"/>
      <c r="C57" s="1390">
        <f>C42+C43+C45+C49+C50+C52+C51</f>
        <v>3772</v>
      </c>
      <c r="D57" s="1390">
        <f>D42+D43+D45+D49+D50+D52+D51</f>
        <v>14896</v>
      </c>
      <c r="E57" s="1390">
        <f>SUM(E43:E52)</f>
        <v>17723</v>
      </c>
      <c r="F57" s="1390">
        <f>SUM(F43:F52)</f>
        <v>31098</v>
      </c>
      <c r="G57" s="1390">
        <f>SUM(G43:G52)</f>
        <v>5189</v>
      </c>
      <c r="H57" s="1390">
        <f t="shared" ref="H57:M57" si="6">H42+H43+H45+H49+H50+H52</f>
        <v>3220</v>
      </c>
      <c r="I57" s="1390">
        <f t="shared" si="6"/>
        <v>426</v>
      </c>
      <c r="J57" s="1390"/>
      <c r="K57" s="1390"/>
      <c r="L57" s="1390"/>
      <c r="M57" s="1390">
        <f t="shared" si="6"/>
        <v>0</v>
      </c>
      <c r="Q57" s="1389"/>
    </row>
    <row r="58" spans="1:39" s="738" customFormat="1" ht="12">
      <c r="A58" s="739"/>
      <c r="B58" s="739"/>
      <c r="C58" s="886"/>
      <c r="D58" s="886"/>
      <c r="E58" s="886"/>
      <c r="F58" s="886"/>
      <c r="G58" s="886"/>
      <c r="H58" s="886"/>
      <c r="I58" s="886"/>
      <c r="J58" s="886"/>
      <c r="K58" s="886"/>
      <c r="L58" s="886"/>
      <c r="M58" s="886"/>
      <c r="Q58" s="739"/>
      <c r="X58" s="1388"/>
      <c r="Y58" s="1388"/>
      <c r="Z58" s="1388"/>
      <c r="AA58" s="1388"/>
      <c r="AB58" s="1388"/>
      <c r="AC58" s="1388"/>
      <c r="AD58" s="1388"/>
      <c r="AE58" s="1388"/>
      <c r="AF58" s="1388"/>
      <c r="AG58" s="1388"/>
      <c r="AH58" s="1388"/>
      <c r="AI58" s="1388"/>
      <c r="AJ58" s="1388"/>
      <c r="AK58" s="1388"/>
      <c r="AL58" s="1388"/>
      <c r="AM58" s="1388"/>
    </row>
    <row r="59" spans="1:39" s="738" customFormat="1" ht="12">
      <c r="A59" s="739"/>
      <c r="B59" s="1096"/>
      <c r="C59" s="886"/>
      <c r="D59" s="886"/>
      <c r="E59" s="886"/>
      <c r="F59" s="886"/>
      <c r="G59" s="886"/>
      <c r="H59" s="886"/>
      <c r="I59" s="886"/>
      <c r="J59" s="886"/>
      <c r="K59" s="886"/>
      <c r="L59" s="886"/>
      <c r="M59" s="886"/>
      <c r="O59" s="738">
        <f>N44+N13</f>
        <v>13200</v>
      </c>
      <c r="Q59" s="739"/>
      <c r="X59" s="1388"/>
      <c r="Y59" s="1388"/>
      <c r="Z59" s="1388"/>
      <c r="AA59" s="1388"/>
      <c r="AB59" s="1388"/>
      <c r="AC59" s="1388"/>
      <c r="AD59" s="1388"/>
      <c r="AE59" s="1388"/>
      <c r="AF59" s="1388"/>
      <c r="AG59" s="1388"/>
      <c r="AH59" s="1388"/>
      <c r="AI59" s="1388"/>
      <c r="AJ59" s="1388"/>
      <c r="AK59" s="1388"/>
      <c r="AL59" s="1388"/>
      <c r="AM59" s="1388"/>
    </row>
    <row r="60" spans="1:39" s="738" customFormat="1" ht="12">
      <c r="A60" s="739"/>
      <c r="B60" s="1096"/>
      <c r="C60" s="886"/>
      <c r="D60" s="886"/>
      <c r="E60" s="886"/>
      <c r="F60" s="886"/>
      <c r="G60" s="886"/>
      <c r="H60" s="886"/>
      <c r="I60" s="886"/>
      <c r="J60" s="886"/>
      <c r="K60" s="886"/>
      <c r="L60" s="886"/>
      <c r="M60" s="886"/>
      <c r="Q60" s="739"/>
      <c r="X60" s="1388"/>
      <c r="Y60" s="1388"/>
      <c r="Z60" s="1388"/>
      <c r="AA60" s="1388"/>
      <c r="AB60" s="1388"/>
      <c r="AC60" s="1388"/>
      <c r="AD60" s="1388"/>
      <c r="AE60" s="1388"/>
      <c r="AF60" s="1388"/>
      <c r="AG60" s="1388"/>
      <c r="AH60" s="1388"/>
      <c r="AI60" s="1388"/>
      <c r="AJ60" s="1388"/>
      <c r="AK60" s="1388"/>
      <c r="AL60" s="1388"/>
      <c r="AM60" s="1388"/>
    </row>
    <row r="61" spans="1:39" s="738" customFormat="1" ht="12">
      <c r="A61" s="739"/>
      <c r="B61" s="1096"/>
      <c r="C61" s="886"/>
      <c r="D61" s="886"/>
      <c r="E61" s="886"/>
      <c r="F61" s="886"/>
      <c r="G61" s="886"/>
      <c r="H61" s="886"/>
      <c r="I61" s="886"/>
      <c r="J61" s="886"/>
      <c r="K61" s="886"/>
      <c r="L61" s="886"/>
      <c r="M61" s="886"/>
      <c r="Q61" s="739"/>
      <c r="X61" s="1388"/>
      <c r="Y61" s="1388"/>
      <c r="Z61" s="1388"/>
      <c r="AA61" s="1388"/>
      <c r="AB61" s="1388"/>
      <c r="AC61" s="1388"/>
      <c r="AD61" s="1388"/>
      <c r="AE61" s="1388"/>
      <c r="AF61" s="1388"/>
      <c r="AG61" s="1388"/>
      <c r="AH61" s="1388"/>
      <c r="AI61" s="1388"/>
      <c r="AJ61" s="1388"/>
      <c r="AK61" s="1388"/>
      <c r="AL61" s="1388"/>
      <c r="AM61" s="1388"/>
    </row>
    <row r="62" spans="1:39" s="738" customFormat="1" ht="12">
      <c r="A62" s="739"/>
      <c r="B62" s="1096"/>
      <c r="C62" s="886"/>
      <c r="D62" s="886"/>
      <c r="E62" s="886"/>
      <c r="F62" s="886"/>
      <c r="G62" s="886"/>
      <c r="H62" s="886"/>
      <c r="I62" s="886"/>
      <c r="J62" s="886"/>
      <c r="K62" s="886"/>
      <c r="L62" s="886"/>
      <c r="M62" s="886"/>
      <c r="Q62" s="739"/>
      <c r="X62" s="1388"/>
      <c r="Y62" s="1388"/>
      <c r="Z62" s="1388"/>
      <c r="AA62" s="1388"/>
      <c r="AB62" s="1388"/>
      <c r="AC62" s="1388"/>
      <c r="AD62" s="1388"/>
      <c r="AE62" s="1388"/>
      <c r="AF62" s="1388"/>
      <c r="AG62" s="1388"/>
      <c r="AH62" s="1388"/>
      <c r="AI62" s="1388"/>
      <c r="AJ62" s="1388"/>
      <c r="AK62" s="1388"/>
      <c r="AL62" s="1388"/>
      <c r="AM62" s="1388"/>
    </row>
    <row r="63" spans="1:39" s="738" customFormat="1" ht="12">
      <c r="A63" s="739"/>
      <c r="B63" s="1096"/>
      <c r="C63" s="886"/>
      <c r="D63" s="886"/>
      <c r="E63" s="886"/>
      <c r="F63" s="886"/>
      <c r="G63" s="886"/>
      <c r="H63" s="886"/>
      <c r="I63" s="886"/>
      <c r="J63" s="886"/>
      <c r="K63" s="886"/>
      <c r="L63" s="886"/>
      <c r="M63" s="886"/>
      <c r="Q63" s="739"/>
      <c r="X63" s="1388"/>
      <c r="Y63" s="1388"/>
      <c r="Z63" s="1388"/>
      <c r="AA63" s="1388"/>
      <c r="AB63" s="1388"/>
      <c r="AC63" s="1388"/>
      <c r="AD63" s="1388"/>
      <c r="AE63" s="1388"/>
      <c r="AF63" s="1388"/>
      <c r="AG63" s="1388"/>
      <c r="AH63" s="1388"/>
      <c r="AI63" s="1388"/>
      <c r="AJ63" s="1388"/>
      <c r="AK63" s="1388"/>
      <c r="AL63" s="1388"/>
      <c r="AM63" s="1388"/>
    </row>
    <row r="64" spans="1:39" s="738" customFormat="1" ht="12">
      <c r="A64" s="739"/>
      <c r="B64" s="739"/>
      <c r="C64" s="886"/>
      <c r="D64" s="886"/>
      <c r="E64" s="886"/>
      <c r="F64" s="886"/>
      <c r="G64" s="886"/>
      <c r="H64" s="886"/>
      <c r="I64" s="886"/>
      <c r="J64" s="886"/>
      <c r="K64" s="886"/>
      <c r="L64" s="886"/>
      <c r="M64" s="886"/>
      <c r="Q64" s="739"/>
      <c r="X64" s="1388"/>
      <c r="Y64" s="1388"/>
      <c r="Z64" s="1388"/>
      <c r="AA64" s="1388"/>
      <c r="AB64" s="1388"/>
      <c r="AC64" s="1388"/>
      <c r="AD64" s="1388"/>
      <c r="AE64" s="1388"/>
      <c r="AF64" s="1388"/>
      <c r="AG64" s="1388"/>
      <c r="AH64" s="1388"/>
      <c r="AI64" s="1388"/>
      <c r="AJ64" s="1388"/>
      <c r="AK64" s="1388"/>
      <c r="AL64" s="1388"/>
      <c r="AM64" s="1388"/>
    </row>
    <row r="65" spans="1:39" s="738" customFormat="1" ht="12">
      <c r="A65" s="739"/>
      <c r="B65" s="739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Q65" s="739"/>
      <c r="X65" s="1388"/>
      <c r="Y65" s="1388"/>
      <c r="Z65" s="1388"/>
      <c r="AA65" s="1388"/>
      <c r="AB65" s="1388"/>
      <c r="AC65" s="1388"/>
      <c r="AD65" s="1388"/>
      <c r="AE65" s="1388"/>
      <c r="AF65" s="1388"/>
      <c r="AG65" s="1388"/>
      <c r="AH65" s="1388"/>
      <c r="AI65" s="1388"/>
      <c r="AJ65" s="1388"/>
      <c r="AK65" s="1388"/>
      <c r="AL65" s="1388"/>
      <c r="AM65" s="1388"/>
    </row>
    <row r="66" spans="1:39" s="738" customFormat="1" ht="12">
      <c r="A66" s="739"/>
      <c r="B66" s="739"/>
      <c r="C66" s="886"/>
      <c r="D66" s="1097"/>
      <c r="E66" s="1098"/>
      <c r="F66" s="1098"/>
      <c r="G66" s="1098"/>
      <c r="H66" s="1098"/>
      <c r="I66" s="1097"/>
      <c r="J66" s="886"/>
      <c r="K66" s="886"/>
      <c r="L66" s="886"/>
      <c r="M66" s="886"/>
      <c r="Q66" s="739"/>
      <c r="X66" s="1388"/>
      <c r="Y66" s="1388"/>
      <c r="Z66" s="1388"/>
      <c r="AA66" s="1388"/>
      <c r="AB66" s="1388"/>
      <c r="AC66" s="1388"/>
      <c r="AD66" s="1388"/>
      <c r="AE66" s="1388"/>
      <c r="AF66" s="1388"/>
      <c r="AG66" s="1388"/>
      <c r="AH66" s="1388"/>
      <c r="AI66" s="1388"/>
      <c r="AJ66" s="1388"/>
      <c r="AK66" s="1388"/>
      <c r="AL66" s="1388"/>
      <c r="AM66" s="1388"/>
    </row>
    <row r="67" spans="1:39" s="738" customFormat="1" ht="12">
      <c r="A67" s="739"/>
      <c r="B67" s="739"/>
      <c r="C67" s="886"/>
      <c r="D67" s="1099"/>
      <c r="E67" s="1097"/>
      <c r="F67" s="1100"/>
      <c r="G67" s="1100"/>
      <c r="H67" s="1100"/>
      <c r="I67" s="1100"/>
      <c r="J67" s="886"/>
      <c r="K67" s="886"/>
      <c r="L67" s="886"/>
      <c r="M67" s="886"/>
      <c r="Q67" s="739"/>
      <c r="X67" s="1388"/>
      <c r="Y67" s="1388"/>
      <c r="Z67" s="1388"/>
      <c r="AA67" s="1388"/>
      <c r="AB67" s="1388"/>
      <c r="AC67" s="1388"/>
      <c r="AD67" s="1388"/>
      <c r="AE67" s="1388"/>
      <c r="AF67" s="1388"/>
      <c r="AG67" s="1388"/>
      <c r="AH67" s="1388"/>
      <c r="AI67" s="1388"/>
      <c r="AJ67" s="1388"/>
      <c r="AK67" s="1388"/>
      <c r="AL67" s="1388"/>
      <c r="AM67" s="1388"/>
    </row>
    <row r="68" spans="1:39" s="738" customFormat="1" ht="12">
      <c r="A68" s="739"/>
      <c r="B68" s="739"/>
      <c r="C68" s="886"/>
      <c r="D68" s="1099"/>
      <c r="E68" s="1097"/>
      <c r="F68" s="1100"/>
      <c r="G68" s="1100"/>
      <c r="H68" s="1100"/>
      <c r="I68" s="1100"/>
      <c r="J68" s="886"/>
      <c r="K68" s="886"/>
      <c r="L68" s="886"/>
      <c r="M68" s="886"/>
      <c r="Q68" s="739"/>
      <c r="X68" s="1388"/>
      <c r="Y68" s="1388"/>
      <c r="Z68" s="1388"/>
      <c r="AA68" s="1388"/>
      <c r="AB68" s="1388"/>
      <c r="AC68" s="1388"/>
      <c r="AD68" s="1388"/>
      <c r="AE68" s="1388"/>
      <c r="AF68" s="1388"/>
      <c r="AG68" s="1388"/>
      <c r="AH68" s="1388"/>
      <c r="AI68" s="1388"/>
      <c r="AJ68" s="1388"/>
      <c r="AK68" s="1388"/>
      <c r="AL68" s="1388"/>
      <c r="AM68" s="1388"/>
    </row>
    <row r="69" spans="1:39" s="738" customFormat="1" ht="12">
      <c r="A69" s="739"/>
      <c r="B69" s="739"/>
      <c r="C69" s="886"/>
      <c r="D69" s="1099"/>
      <c r="E69" s="1097"/>
      <c r="F69" s="1100"/>
      <c r="G69" s="1100"/>
      <c r="H69" s="1100"/>
      <c r="I69" s="1100"/>
      <c r="J69" s="886"/>
      <c r="K69" s="886"/>
      <c r="L69" s="886"/>
      <c r="M69" s="886"/>
      <c r="Q69" s="739"/>
      <c r="X69" s="1388"/>
      <c r="Y69" s="1388"/>
      <c r="Z69" s="1388"/>
      <c r="AA69" s="1388"/>
      <c r="AB69" s="1388"/>
      <c r="AC69" s="1388"/>
      <c r="AD69" s="1388"/>
      <c r="AE69" s="1388"/>
      <c r="AF69" s="1388"/>
      <c r="AG69" s="1388"/>
      <c r="AH69" s="1388"/>
      <c r="AI69" s="1388"/>
      <c r="AJ69" s="1388"/>
      <c r="AK69" s="1388"/>
      <c r="AL69" s="1388"/>
      <c r="AM69" s="1388"/>
    </row>
    <row r="70" spans="1:39" s="738" customFormat="1" ht="12">
      <c r="A70" s="739"/>
      <c r="B70" s="739"/>
      <c r="C70" s="886"/>
      <c r="D70" s="1099"/>
      <c r="E70" s="1097"/>
      <c r="F70" s="1100"/>
      <c r="G70" s="1100"/>
      <c r="H70" s="1100"/>
      <c r="I70" s="1100"/>
      <c r="J70" s="886"/>
      <c r="K70" s="886"/>
      <c r="L70" s="886"/>
      <c r="M70" s="886"/>
      <c r="Q70" s="739"/>
      <c r="X70" s="1388"/>
      <c r="Y70" s="1388"/>
      <c r="Z70" s="1388"/>
      <c r="AA70" s="1388"/>
      <c r="AB70" s="1388"/>
      <c r="AC70" s="1388"/>
      <c r="AD70" s="1388"/>
      <c r="AE70" s="1388"/>
      <c r="AF70" s="1388"/>
      <c r="AG70" s="1388"/>
      <c r="AH70" s="1388"/>
      <c r="AI70" s="1388"/>
      <c r="AJ70" s="1388"/>
      <c r="AK70" s="1388"/>
      <c r="AL70" s="1388"/>
      <c r="AM70" s="1388"/>
    </row>
    <row r="71" spans="1:39" s="738" customFormat="1" ht="12">
      <c r="A71" s="739"/>
      <c r="B71" s="739"/>
      <c r="C71" s="886"/>
      <c r="D71" s="1099"/>
      <c r="E71" s="1097"/>
      <c r="F71" s="1100"/>
      <c r="G71" s="1100"/>
      <c r="H71" s="1100"/>
      <c r="I71" s="1100"/>
      <c r="J71" s="886"/>
      <c r="K71" s="886"/>
      <c r="L71" s="886"/>
      <c r="M71" s="886"/>
      <c r="Q71" s="739"/>
      <c r="X71" s="1388"/>
      <c r="Y71" s="1388"/>
      <c r="Z71" s="1388"/>
      <c r="AA71" s="1388"/>
      <c r="AB71" s="1388"/>
      <c r="AC71" s="1388"/>
      <c r="AD71" s="1388"/>
      <c r="AE71" s="1388"/>
      <c r="AF71" s="1388"/>
      <c r="AG71" s="1388"/>
      <c r="AH71" s="1388"/>
      <c r="AI71" s="1388"/>
      <c r="AJ71" s="1388"/>
      <c r="AK71" s="1388"/>
      <c r="AL71" s="1388"/>
      <c r="AM71" s="1388"/>
    </row>
    <row r="72" spans="1:39" s="738" customFormat="1" ht="12">
      <c r="A72" s="739"/>
      <c r="B72" s="739"/>
      <c r="C72" s="886"/>
      <c r="D72" s="1099"/>
      <c r="E72" s="1097"/>
      <c r="F72" s="1100"/>
      <c r="G72" s="1100"/>
      <c r="H72" s="1100"/>
      <c r="I72" s="1100"/>
      <c r="J72" s="886"/>
      <c r="K72" s="886"/>
      <c r="L72" s="886"/>
      <c r="M72" s="886"/>
      <c r="Q72" s="739"/>
      <c r="X72" s="1388"/>
      <c r="Y72" s="1388"/>
      <c r="Z72" s="1388"/>
      <c r="AA72" s="1388"/>
      <c r="AB72" s="1388"/>
      <c r="AC72" s="1388"/>
      <c r="AD72" s="1388"/>
      <c r="AE72" s="1388"/>
      <c r="AF72" s="1388"/>
      <c r="AG72" s="1388"/>
      <c r="AH72" s="1388"/>
      <c r="AI72" s="1388"/>
      <c r="AJ72" s="1388"/>
      <c r="AK72" s="1388"/>
      <c r="AL72" s="1388"/>
      <c r="AM72" s="1388"/>
    </row>
    <row r="73" spans="1:39" s="738" customFormat="1" ht="12">
      <c r="A73" s="739"/>
      <c r="B73" s="739"/>
      <c r="C73" s="886"/>
      <c r="D73" s="1099"/>
      <c r="E73" s="1097"/>
      <c r="F73" s="1100"/>
      <c r="G73" s="1100"/>
      <c r="H73" s="1100"/>
      <c r="I73" s="1100"/>
      <c r="J73" s="886"/>
      <c r="K73" s="886"/>
      <c r="L73" s="886"/>
      <c r="M73" s="886"/>
      <c r="Q73" s="739"/>
      <c r="X73" s="1388"/>
      <c r="Y73" s="1388"/>
      <c r="Z73" s="1388"/>
      <c r="AA73" s="1388"/>
      <c r="AB73" s="1388"/>
      <c r="AC73" s="1388"/>
      <c r="AD73" s="1388"/>
      <c r="AE73" s="1388"/>
      <c r="AF73" s="1388"/>
      <c r="AG73" s="1388"/>
      <c r="AH73" s="1388"/>
      <c r="AI73" s="1388"/>
      <c r="AJ73" s="1388"/>
      <c r="AK73" s="1388"/>
      <c r="AL73" s="1388"/>
      <c r="AM73" s="1388"/>
    </row>
    <row r="74" spans="1:39" s="738" customFormat="1" ht="12">
      <c r="A74" s="739"/>
      <c r="B74" s="739"/>
      <c r="C74" s="886"/>
      <c r="D74" s="1099"/>
      <c r="E74" s="1097"/>
      <c r="F74" s="1100"/>
      <c r="G74" s="1100"/>
      <c r="H74" s="1100"/>
      <c r="I74" s="1100"/>
      <c r="J74" s="886"/>
      <c r="K74" s="886"/>
      <c r="L74" s="886"/>
      <c r="M74" s="886"/>
      <c r="Q74" s="739"/>
      <c r="X74" s="1388"/>
      <c r="Y74" s="1388"/>
      <c r="Z74" s="1388"/>
      <c r="AA74" s="1388"/>
      <c r="AB74" s="1388"/>
      <c r="AC74" s="1388"/>
      <c r="AD74" s="1388"/>
      <c r="AE74" s="1388"/>
      <c r="AF74" s="1388"/>
      <c r="AG74" s="1388"/>
      <c r="AH74" s="1388"/>
      <c r="AI74" s="1388"/>
      <c r="AJ74" s="1388"/>
      <c r="AK74" s="1388"/>
      <c r="AL74" s="1388"/>
      <c r="AM74" s="1388"/>
    </row>
    <row r="75" spans="1:39" s="738" customFormat="1" ht="12">
      <c r="A75" s="739"/>
      <c r="B75" s="739"/>
      <c r="C75" s="886"/>
      <c r="D75" s="1099"/>
      <c r="E75" s="1097"/>
      <c r="F75" s="1100"/>
      <c r="G75" s="1100"/>
      <c r="H75" s="1100"/>
      <c r="I75" s="1100"/>
      <c r="J75" s="886"/>
      <c r="K75" s="886"/>
      <c r="L75" s="886"/>
      <c r="M75" s="886"/>
      <c r="Q75" s="739"/>
      <c r="X75" s="1388"/>
      <c r="Y75" s="1388"/>
      <c r="Z75" s="1388"/>
      <c r="AA75" s="1388"/>
      <c r="AB75" s="1388"/>
      <c r="AC75" s="1388"/>
      <c r="AD75" s="1388"/>
      <c r="AE75" s="1388"/>
      <c r="AF75" s="1388"/>
      <c r="AG75" s="1388"/>
      <c r="AH75" s="1388"/>
      <c r="AI75" s="1388"/>
      <c r="AJ75" s="1388"/>
      <c r="AK75" s="1388"/>
      <c r="AL75" s="1388"/>
      <c r="AM75" s="1388"/>
    </row>
    <row r="76" spans="1:39" s="738" customFormat="1" ht="12">
      <c r="A76" s="739"/>
      <c r="B76" s="739"/>
      <c r="C76" s="886"/>
      <c r="D76" s="1099"/>
      <c r="E76" s="1097"/>
      <c r="F76" s="1100"/>
      <c r="G76" s="1100"/>
      <c r="H76" s="1100"/>
      <c r="I76" s="1100"/>
      <c r="J76" s="886"/>
      <c r="K76" s="886"/>
      <c r="L76" s="886"/>
      <c r="M76" s="886"/>
      <c r="Q76" s="739"/>
      <c r="X76" s="1388"/>
      <c r="Y76" s="1388"/>
      <c r="Z76" s="1388"/>
      <c r="AA76" s="1388"/>
      <c r="AB76" s="1388"/>
      <c r="AC76" s="1388"/>
      <c r="AD76" s="1388"/>
      <c r="AE76" s="1388"/>
      <c r="AF76" s="1388"/>
      <c r="AG76" s="1388"/>
      <c r="AH76" s="1388"/>
      <c r="AI76" s="1388"/>
      <c r="AJ76" s="1388"/>
      <c r="AK76" s="1388"/>
      <c r="AL76" s="1388"/>
      <c r="AM76" s="1388"/>
    </row>
    <row r="77" spans="1:39" s="738" customFormat="1" ht="12">
      <c r="A77" s="739"/>
      <c r="B77" s="739"/>
      <c r="C77" s="886"/>
      <c r="D77" s="1099"/>
      <c r="E77" s="1097"/>
      <c r="F77" s="1100"/>
      <c r="G77" s="1100"/>
      <c r="H77" s="1100"/>
      <c r="I77" s="1100"/>
      <c r="J77" s="886"/>
      <c r="K77" s="886"/>
      <c r="L77" s="886"/>
      <c r="M77" s="886"/>
      <c r="Q77" s="739"/>
      <c r="X77" s="1388"/>
      <c r="Y77" s="1388"/>
      <c r="Z77" s="1388"/>
      <c r="AA77" s="1388"/>
      <c r="AB77" s="1388"/>
      <c r="AC77" s="1388"/>
      <c r="AD77" s="1388"/>
      <c r="AE77" s="1388"/>
      <c r="AF77" s="1388"/>
      <c r="AG77" s="1388"/>
      <c r="AH77" s="1388"/>
      <c r="AI77" s="1388"/>
      <c r="AJ77" s="1388"/>
      <c r="AK77" s="1388"/>
      <c r="AL77" s="1388"/>
      <c r="AM77" s="1388"/>
    </row>
    <row r="78" spans="1:39" s="738" customFormat="1" ht="12">
      <c r="A78" s="739"/>
      <c r="B78" s="739"/>
      <c r="C78" s="886"/>
      <c r="D78" s="1099"/>
      <c r="E78" s="1097"/>
      <c r="F78" s="1100"/>
      <c r="G78" s="1100"/>
      <c r="H78" s="1100"/>
      <c r="I78" s="1100"/>
      <c r="J78" s="886"/>
      <c r="K78" s="886"/>
      <c r="L78" s="886"/>
      <c r="M78" s="886"/>
      <c r="Q78" s="739"/>
      <c r="X78" s="1388"/>
      <c r="Y78" s="1388"/>
      <c r="Z78" s="1388"/>
      <c r="AA78" s="1388"/>
      <c r="AB78" s="1388"/>
      <c r="AC78" s="1388"/>
      <c r="AD78" s="1388"/>
      <c r="AE78" s="1388"/>
      <c r="AF78" s="1388"/>
      <c r="AG78" s="1388"/>
      <c r="AH78" s="1388"/>
      <c r="AI78" s="1388"/>
      <c r="AJ78" s="1388"/>
      <c r="AK78" s="1388"/>
      <c r="AL78" s="1388"/>
      <c r="AM78" s="1388"/>
    </row>
    <row r="79" spans="1:39" s="738" customFormat="1" ht="12">
      <c r="A79" s="739"/>
      <c r="B79" s="739"/>
      <c r="C79" s="886"/>
      <c r="D79" s="1099"/>
      <c r="E79" s="1097"/>
      <c r="F79" s="1100"/>
      <c r="G79" s="1100"/>
      <c r="H79" s="1100"/>
      <c r="I79" s="1100"/>
      <c r="J79" s="886"/>
      <c r="K79" s="886"/>
      <c r="L79" s="886"/>
      <c r="M79" s="886"/>
      <c r="Q79" s="739"/>
      <c r="X79" s="1388"/>
      <c r="Y79" s="1388"/>
      <c r="Z79" s="1388"/>
      <c r="AA79" s="1388"/>
      <c r="AB79" s="1388"/>
      <c r="AC79" s="1388"/>
      <c r="AD79" s="1388"/>
      <c r="AE79" s="1388"/>
      <c r="AF79" s="1388"/>
      <c r="AG79" s="1388"/>
      <c r="AH79" s="1388"/>
      <c r="AI79" s="1388"/>
      <c r="AJ79" s="1388"/>
      <c r="AK79" s="1388"/>
      <c r="AL79" s="1388"/>
      <c r="AM79" s="1388"/>
    </row>
    <row r="80" spans="1:39" s="738" customFormat="1" ht="12">
      <c r="A80" s="739"/>
      <c r="B80" s="739"/>
      <c r="C80" s="886"/>
      <c r="D80" s="1099"/>
      <c r="E80" s="1097"/>
      <c r="F80" s="1100"/>
      <c r="G80" s="1100"/>
      <c r="H80" s="1100"/>
      <c r="I80" s="1100"/>
      <c r="J80" s="886"/>
      <c r="K80" s="886"/>
      <c r="L80" s="886"/>
      <c r="M80" s="886"/>
      <c r="Q80" s="739"/>
      <c r="X80" s="1388"/>
      <c r="Y80" s="1388"/>
      <c r="Z80" s="1388"/>
      <c r="AA80" s="1388"/>
      <c r="AB80" s="1388"/>
      <c r="AC80" s="1388"/>
      <c r="AD80" s="1388"/>
      <c r="AE80" s="1388"/>
      <c r="AF80" s="1388"/>
      <c r="AG80" s="1388"/>
      <c r="AH80" s="1388"/>
      <c r="AI80" s="1388"/>
      <c r="AJ80" s="1388"/>
      <c r="AK80" s="1388"/>
      <c r="AL80" s="1388"/>
      <c r="AM80" s="1388"/>
    </row>
    <row r="81" spans="1:39" s="738" customFormat="1" ht="12">
      <c r="A81" s="739"/>
      <c r="B81" s="739"/>
      <c r="C81" s="886"/>
      <c r="D81" s="1099"/>
      <c r="E81" s="1097"/>
      <c r="F81" s="1100"/>
      <c r="G81" s="1100"/>
      <c r="H81" s="1100"/>
      <c r="I81" s="1100"/>
      <c r="J81" s="886"/>
      <c r="K81" s="886"/>
      <c r="L81" s="886"/>
      <c r="M81" s="886"/>
      <c r="Q81" s="739"/>
      <c r="X81" s="1388"/>
      <c r="Y81" s="1388"/>
      <c r="Z81" s="1388"/>
      <c r="AA81" s="1388"/>
      <c r="AB81" s="1388"/>
      <c r="AC81" s="1388"/>
      <c r="AD81" s="1388"/>
      <c r="AE81" s="1388"/>
      <c r="AF81" s="1388"/>
      <c r="AG81" s="1388"/>
      <c r="AH81" s="1388"/>
      <c r="AI81" s="1388"/>
      <c r="AJ81" s="1388"/>
      <c r="AK81" s="1388"/>
      <c r="AL81" s="1388"/>
      <c r="AM81" s="1388"/>
    </row>
    <row r="82" spans="1:39" s="738" customFormat="1" ht="12">
      <c r="A82" s="739"/>
      <c r="B82" s="739"/>
      <c r="C82" s="886"/>
      <c r="D82" s="1099"/>
      <c r="E82" s="1097"/>
      <c r="F82" s="1100"/>
      <c r="G82" s="1100"/>
      <c r="H82" s="1100"/>
      <c r="I82" s="1100"/>
      <c r="J82" s="886"/>
      <c r="K82" s="886"/>
      <c r="L82" s="886"/>
      <c r="M82" s="886"/>
      <c r="Q82" s="739"/>
      <c r="X82" s="1388"/>
      <c r="Y82" s="1388"/>
      <c r="Z82" s="1388"/>
      <c r="AA82" s="1388"/>
      <c r="AB82" s="1388"/>
      <c r="AC82" s="1388"/>
      <c r="AD82" s="1388"/>
      <c r="AE82" s="1388"/>
      <c r="AF82" s="1388"/>
      <c r="AG82" s="1388"/>
      <c r="AH82" s="1388"/>
      <c r="AI82" s="1388"/>
      <c r="AJ82" s="1388"/>
      <c r="AK82" s="1388"/>
      <c r="AL82" s="1388"/>
      <c r="AM82" s="1388"/>
    </row>
    <row r="83" spans="1:39" s="738" customFormat="1" ht="12">
      <c r="A83" s="739"/>
      <c r="B83" s="739"/>
      <c r="C83" s="886"/>
      <c r="D83" s="1099"/>
      <c r="E83" s="1097"/>
      <c r="F83" s="1100"/>
      <c r="G83" s="1100"/>
      <c r="H83" s="1100"/>
      <c r="I83" s="1100"/>
      <c r="J83" s="886"/>
      <c r="K83" s="886"/>
      <c r="L83" s="886"/>
      <c r="M83" s="886"/>
      <c r="Q83" s="739"/>
      <c r="X83" s="1388"/>
      <c r="Y83" s="1388"/>
      <c r="Z83" s="1388"/>
      <c r="AA83" s="1388"/>
      <c r="AB83" s="1388"/>
      <c r="AC83" s="1388"/>
      <c r="AD83" s="1388"/>
      <c r="AE83" s="1388"/>
      <c r="AF83" s="1388"/>
      <c r="AG83" s="1388"/>
      <c r="AH83" s="1388"/>
      <c r="AI83" s="1388"/>
      <c r="AJ83" s="1388"/>
      <c r="AK83" s="1388"/>
      <c r="AL83" s="1388"/>
      <c r="AM83" s="1388"/>
    </row>
    <row r="84" spans="1:39" s="738" customFormat="1" ht="12">
      <c r="A84" s="739"/>
      <c r="B84" s="739"/>
      <c r="C84" s="886"/>
      <c r="D84" s="1099"/>
      <c r="E84" s="1101"/>
      <c r="F84" s="1100"/>
      <c r="G84" s="1100"/>
      <c r="H84" s="1100"/>
      <c r="I84" s="1100"/>
      <c r="J84" s="886"/>
      <c r="K84" s="886"/>
      <c r="L84" s="886"/>
      <c r="M84" s="886"/>
      <c r="Q84" s="739"/>
      <c r="X84" s="1388"/>
      <c r="Y84" s="1388"/>
      <c r="Z84" s="1388"/>
      <c r="AA84" s="1388"/>
      <c r="AB84" s="1388"/>
      <c r="AC84" s="1388"/>
      <c r="AD84" s="1388"/>
      <c r="AE84" s="1388"/>
      <c r="AF84" s="1388"/>
      <c r="AG84" s="1388"/>
      <c r="AH84" s="1388"/>
      <c r="AI84" s="1388"/>
      <c r="AJ84" s="1388"/>
      <c r="AK84" s="1388"/>
      <c r="AL84" s="1388"/>
      <c r="AM84" s="1388"/>
    </row>
    <row r="85" spans="1:39" s="738" customFormat="1" ht="12">
      <c r="A85" s="739"/>
      <c r="B85" s="739"/>
      <c r="C85" s="886"/>
      <c r="D85" s="1097"/>
      <c r="E85" s="1097"/>
      <c r="F85" s="1102"/>
      <c r="G85" s="1102"/>
      <c r="H85" s="1102"/>
      <c r="I85" s="1100"/>
      <c r="J85" s="886"/>
      <c r="K85" s="886"/>
      <c r="L85" s="886"/>
      <c r="M85" s="886"/>
      <c r="Q85" s="739"/>
      <c r="X85" s="1388"/>
      <c r="Y85" s="1388"/>
      <c r="Z85" s="1388"/>
      <c r="AA85" s="1388"/>
      <c r="AB85" s="1388"/>
      <c r="AC85" s="1388"/>
      <c r="AD85" s="1388"/>
      <c r="AE85" s="1388"/>
      <c r="AF85" s="1388"/>
      <c r="AG85" s="1388"/>
      <c r="AH85" s="1388"/>
      <c r="AI85" s="1388"/>
      <c r="AJ85" s="1388"/>
      <c r="AK85" s="1388"/>
      <c r="AL85" s="1388"/>
      <c r="AM85" s="1388"/>
    </row>
    <row r="86" spans="1:39" s="738" customFormat="1" ht="12">
      <c r="A86" s="739"/>
      <c r="B86" s="739"/>
      <c r="C86" s="886"/>
      <c r="D86" s="886"/>
      <c r="E86" s="886"/>
      <c r="F86" s="886"/>
      <c r="G86" s="886"/>
      <c r="H86" s="886"/>
      <c r="I86" s="886"/>
      <c r="J86" s="886"/>
      <c r="K86" s="886"/>
      <c r="L86" s="886"/>
      <c r="M86" s="886"/>
      <c r="Q86" s="739"/>
      <c r="X86" s="1388"/>
      <c r="Y86" s="1388"/>
      <c r="Z86" s="1388"/>
      <c r="AA86" s="1388"/>
      <c r="AB86" s="1388"/>
      <c r="AC86" s="1388"/>
      <c r="AD86" s="1388"/>
      <c r="AE86" s="1388"/>
      <c r="AF86" s="1388"/>
      <c r="AG86" s="1388"/>
      <c r="AH86" s="1388"/>
      <c r="AI86" s="1388"/>
      <c r="AJ86" s="1388"/>
      <c r="AK86" s="1388"/>
      <c r="AL86" s="1388"/>
      <c r="AM86" s="1388"/>
    </row>
    <row r="87" spans="1:39" s="738" customFormat="1" ht="12">
      <c r="A87" s="739"/>
      <c r="B87" s="739"/>
      <c r="C87" s="886"/>
      <c r="D87" s="886"/>
      <c r="E87" s="886"/>
      <c r="F87" s="886"/>
      <c r="G87" s="886"/>
      <c r="H87" s="886"/>
      <c r="I87" s="886"/>
      <c r="J87" s="886"/>
      <c r="K87" s="886"/>
      <c r="L87" s="886"/>
      <c r="M87" s="886"/>
      <c r="Q87" s="739"/>
      <c r="X87" s="1388"/>
      <c r="Y87" s="1388"/>
      <c r="Z87" s="1388"/>
      <c r="AA87" s="1388"/>
      <c r="AB87" s="1388"/>
      <c r="AC87" s="1388"/>
      <c r="AD87" s="1388"/>
      <c r="AE87" s="1388"/>
      <c r="AF87" s="1388"/>
      <c r="AG87" s="1388"/>
      <c r="AH87" s="1388"/>
      <c r="AI87" s="1388"/>
      <c r="AJ87" s="1388"/>
      <c r="AK87" s="1388"/>
      <c r="AL87" s="1388"/>
      <c r="AM87" s="1388"/>
    </row>
    <row r="88" spans="1:39" s="738" customFormat="1" ht="12">
      <c r="A88" s="739"/>
      <c r="B88" s="739"/>
      <c r="C88" s="886"/>
      <c r="D88" s="886"/>
      <c r="E88" s="886"/>
      <c r="F88" s="886"/>
      <c r="G88" s="886"/>
      <c r="H88" s="886"/>
      <c r="I88" s="886"/>
      <c r="J88" s="886"/>
      <c r="K88" s="886"/>
      <c r="L88" s="886"/>
      <c r="M88" s="886"/>
      <c r="Q88" s="739"/>
      <c r="X88" s="1388"/>
      <c r="Y88" s="1388"/>
      <c r="Z88" s="1388"/>
      <c r="AA88" s="1388"/>
      <c r="AB88" s="1388"/>
      <c r="AC88" s="1388"/>
      <c r="AD88" s="1388"/>
      <c r="AE88" s="1388"/>
      <c r="AF88" s="1388"/>
      <c r="AG88" s="1388"/>
      <c r="AH88" s="1388"/>
      <c r="AI88" s="1388"/>
      <c r="AJ88" s="1388"/>
      <c r="AK88" s="1388"/>
      <c r="AL88" s="1388"/>
      <c r="AM88" s="1388"/>
    </row>
    <row r="89" spans="1:39" s="738" customFormat="1" ht="12">
      <c r="A89" s="739"/>
      <c r="B89" s="739"/>
      <c r="C89" s="886"/>
      <c r="D89" s="886"/>
      <c r="E89" s="886"/>
      <c r="F89" s="886"/>
      <c r="G89" s="886"/>
      <c r="H89" s="886"/>
      <c r="I89" s="886"/>
      <c r="J89" s="886"/>
      <c r="K89" s="886"/>
      <c r="L89" s="886"/>
      <c r="M89" s="886"/>
      <c r="Q89" s="739"/>
      <c r="X89" s="1388"/>
      <c r="Y89" s="1388"/>
      <c r="Z89" s="1388"/>
      <c r="AA89" s="1388"/>
      <c r="AB89" s="1388"/>
      <c r="AC89" s="1388"/>
      <c r="AD89" s="1388"/>
      <c r="AE89" s="1388"/>
      <c r="AF89" s="1388"/>
      <c r="AG89" s="1388"/>
      <c r="AH89" s="1388"/>
      <c r="AI89" s="1388"/>
      <c r="AJ89" s="1388"/>
      <c r="AK89" s="1388"/>
      <c r="AL89" s="1388"/>
      <c r="AM89" s="1388"/>
    </row>
    <row r="90" spans="1:39" s="738" customFormat="1" ht="12">
      <c r="A90" s="739"/>
      <c r="B90" s="739"/>
      <c r="C90" s="886"/>
      <c r="D90" s="886"/>
      <c r="E90" s="886"/>
      <c r="F90" s="886"/>
      <c r="G90" s="886"/>
      <c r="H90" s="886"/>
      <c r="I90" s="886"/>
      <c r="J90" s="886"/>
      <c r="K90" s="886"/>
      <c r="L90" s="886"/>
      <c r="M90" s="886"/>
      <c r="Q90" s="739"/>
      <c r="X90" s="1388"/>
      <c r="Y90" s="1388"/>
      <c r="Z90" s="1388"/>
      <c r="AA90" s="1388"/>
      <c r="AB90" s="1388"/>
      <c r="AC90" s="1388"/>
      <c r="AD90" s="1388"/>
      <c r="AE90" s="1388"/>
      <c r="AF90" s="1388"/>
      <c r="AG90" s="1388"/>
      <c r="AH90" s="1388"/>
      <c r="AI90" s="1388"/>
      <c r="AJ90" s="1388"/>
      <c r="AK90" s="1388"/>
      <c r="AL90" s="1388"/>
      <c r="AM90" s="1388"/>
    </row>
    <row r="91" spans="1:39" s="738" customFormat="1" ht="12">
      <c r="A91" s="739"/>
      <c r="B91" s="739"/>
      <c r="C91" s="886"/>
      <c r="D91" s="886"/>
      <c r="E91" s="886"/>
      <c r="F91" s="886"/>
      <c r="G91" s="886"/>
      <c r="H91" s="886"/>
      <c r="I91" s="886"/>
      <c r="J91" s="886"/>
      <c r="K91" s="886"/>
      <c r="L91" s="886"/>
      <c r="M91" s="886"/>
      <c r="Q91" s="739"/>
      <c r="X91" s="1388"/>
      <c r="Y91" s="1388"/>
      <c r="Z91" s="1388"/>
      <c r="AA91" s="1388"/>
      <c r="AB91" s="1388"/>
      <c r="AC91" s="1388"/>
      <c r="AD91" s="1388"/>
      <c r="AE91" s="1388"/>
      <c r="AF91" s="1388"/>
      <c r="AG91" s="1388"/>
      <c r="AH91" s="1388"/>
      <c r="AI91" s="1388"/>
      <c r="AJ91" s="1388"/>
      <c r="AK91" s="1388"/>
      <c r="AL91" s="1388"/>
      <c r="AM91" s="1388"/>
    </row>
    <row r="92" spans="1:39" s="738" customFormat="1" ht="12">
      <c r="A92" s="739"/>
      <c r="B92" s="739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Q92" s="739"/>
      <c r="X92" s="1388"/>
      <c r="Y92" s="1388"/>
      <c r="Z92" s="1388"/>
      <c r="AA92" s="1388"/>
      <c r="AB92" s="1388"/>
      <c r="AC92" s="1388"/>
      <c r="AD92" s="1388"/>
      <c r="AE92" s="1388"/>
      <c r="AF92" s="1388"/>
      <c r="AG92" s="1388"/>
      <c r="AH92" s="1388"/>
      <c r="AI92" s="1388"/>
      <c r="AJ92" s="1388"/>
      <c r="AK92" s="1388"/>
      <c r="AL92" s="1388"/>
      <c r="AM92" s="1388"/>
    </row>
    <row r="93" spans="1:39" s="738" customFormat="1" ht="12">
      <c r="A93" s="739"/>
      <c r="B93" s="739"/>
      <c r="C93" s="886"/>
      <c r="D93" s="886"/>
      <c r="E93" s="886"/>
      <c r="F93" s="886"/>
      <c r="G93" s="886"/>
      <c r="H93" s="886"/>
      <c r="I93" s="886"/>
      <c r="J93" s="886"/>
      <c r="K93" s="886"/>
      <c r="L93" s="886"/>
      <c r="M93" s="886"/>
      <c r="Q93" s="739"/>
      <c r="X93" s="1388"/>
      <c r="Y93" s="1388"/>
      <c r="Z93" s="1388"/>
      <c r="AA93" s="1388"/>
      <c r="AB93" s="1388"/>
      <c r="AC93" s="1388"/>
      <c r="AD93" s="1388"/>
      <c r="AE93" s="1388"/>
      <c r="AF93" s="1388"/>
      <c r="AG93" s="1388"/>
      <c r="AH93" s="1388"/>
      <c r="AI93" s="1388"/>
      <c r="AJ93" s="1388"/>
      <c r="AK93" s="1388"/>
      <c r="AL93" s="1388"/>
      <c r="AM93" s="1388"/>
    </row>
  </sheetData>
  <mergeCells count="2">
    <mergeCell ref="F2:M2"/>
    <mergeCell ref="X21:AB21"/>
  </mergeCells>
  <phoneticPr fontId="6" type="noConversion"/>
  <printOptions horizontalCentered="1" headings="1"/>
  <pageMargins left="0.39370078740157483" right="0" top="0.39370078740157483" bottom="0.39370078740157483" header="0.39370078740157483" footer="0.39370078740157483"/>
  <pageSetup paperSize="9" scale="80" orientation="portrait" cellComments="asDisplayed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82"/>
  <sheetViews>
    <sheetView topLeftCell="A145" workbookViewId="0">
      <selection activeCell="H30" sqref="H30"/>
    </sheetView>
  </sheetViews>
  <sheetFormatPr defaultRowHeight="12.75" outlineLevelRow="1"/>
  <cols>
    <col min="2" max="2" width="54.85546875" customWidth="1"/>
  </cols>
  <sheetData>
    <row r="2" spans="1:15" s="24" customFormat="1" ht="15.75">
      <c r="A2" s="38"/>
      <c r="B2" s="56"/>
      <c r="C2" s="38"/>
      <c r="D2" s="38"/>
      <c r="E2" s="38"/>
      <c r="F2" s="38"/>
      <c r="G2" s="38"/>
      <c r="H2" s="38" t="s">
        <v>65</v>
      </c>
      <c r="I2" s="38"/>
      <c r="J2" s="38"/>
      <c r="K2" s="38"/>
      <c r="L2" s="38"/>
      <c r="M2" s="39"/>
      <c r="N2" s="39"/>
      <c r="O2" s="39"/>
    </row>
    <row r="3" spans="1:15" s="1" customFormat="1" ht="39" customHeight="1">
      <c r="A3" s="1672" t="s">
        <v>377</v>
      </c>
      <c r="B3" s="1672"/>
      <c r="C3" s="1672"/>
      <c r="D3" s="1672"/>
      <c r="E3" s="1672"/>
      <c r="F3" s="1672"/>
      <c r="G3" s="1672"/>
      <c r="H3" s="1672"/>
      <c r="I3" s="1672"/>
      <c r="J3" s="1672"/>
      <c r="K3" s="1672"/>
      <c r="L3" s="1672"/>
      <c r="M3" s="1672"/>
      <c r="N3" s="1672"/>
      <c r="O3" s="1672"/>
    </row>
    <row r="4" spans="1:15" s="98" customFormat="1" ht="15.75" customHeight="1">
      <c r="A4" s="1673" t="s">
        <v>13</v>
      </c>
      <c r="B4" s="1674" t="s">
        <v>17</v>
      </c>
      <c r="C4" s="1673"/>
      <c r="D4" s="1673"/>
      <c r="E4" s="1673"/>
      <c r="F4" s="1673"/>
      <c r="G4" s="1673"/>
      <c r="H4" s="1673"/>
      <c r="I4" s="1673"/>
      <c r="J4" s="1673"/>
      <c r="K4" s="1673"/>
      <c r="L4" s="1673"/>
      <c r="M4" s="1673"/>
      <c r="N4" s="1673"/>
      <c r="O4" s="1673"/>
    </row>
    <row r="5" spans="1:15" s="1" customFormat="1" ht="15.75" customHeight="1">
      <c r="A5" s="1673"/>
      <c r="B5" s="1674"/>
      <c r="C5" s="1675" t="s">
        <v>445</v>
      </c>
      <c r="D5" s="1677">
        <v>2014</v>
      </c>
      <c r="E5" s="1677"/>
      <c r="F5" s="1677"/>
      <c r="G5" s="1677">
        <v>2015</v>
      </c>
      <c r="H5" s="1677"/>
      <c r="I5" s="1677"/>
      <c r="J5" s="1678">
        <v>2016</v>
      </c>
      <c r="K5" s="1679"/>
      <c r="L5" s="1680"/>
      <c r="M5" s="1681" t="s">
        <v>334</v>
      </c>
      <c r="N5" s="1681"/>
      <c r="O5" s="1681"/>
    </row>
    <row r="6" spans="1:15" s="1" customFormat="1" ht="68.25" customHeight="1">
      <c r="A6" s="1673"/>
      <c r="B6" s="1674"/>
      <c r="C6" s="1676"/>
      <c r="D6" s="40" t="s">
        <v>15</v>
      </c>
      <c r="E6" s="40" t="s">
        <v>19</v>
      </c>
      <c r="F6" s="202" t="s">
        <v>156</v>
      </c>
      <c r="G6" s="40" t="s">
        <v>15</v>
      </c>
      <c r="H6" s="40" t="s">
        <v>19</v>
      </c>
      <c r="I6" s="202" t="s">
        <v>12</v>
      </c>
      <c r="J6" s="40" t="s">
        <v>15</v>
      </c>
      <c r="K6" s="40" t="s">
        <v>19</v>
      </c>
      <c r="L6" s="202" t="str">
        <f>O6</f>
        <v>Perspektywa 2014-2020</v>
      </c>
      <c r="M6" s="40" t="s">
        <v>15</v>
      </c>
      <c r="N6" s="40" t="s">
        <v>19</v>
      </c>
      <c r="O6" s="202" t="s">
        <v>292</v>
      </c>
    </row>
    <row r="7" spans="1:15" s="1" customFormat="1" ht="19.5" customHeight="1">
      <c r="A7" s="57">
        <v>1</v>
      </c>
      <c r="B7" s="204">
        <f>A7+1</f>
        <v>2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  <c r="O7" s="42"/>
    </row>
    <row r="8" spans="1:15" s="1" customFormat="1" ht="28.5" customHeight="1">
      <c r="A8" s="58" t="s">
        <v>18</v>
      </c>
      <c r="B8" s="59" t="s">
        <v>18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2"/>
      <c r="N8" s="42"/>
      <c r="O8" s="42"/>
    </row>
    <row r="9" spans="1:15" s="2" customFormat="1" ht="15.75">
      <c r="A9" s="1652" t="s">
        <v>304</v>
      </c>
      <c r="B9" s="1653"/>
      <c r="C9" s="1653"/>
      <c r="D9" s="1653"/>
      <c r="E9" s="1653"/>
      <c r="F9" s="1653"/>
      <c r="G9" s="1653"/>
      <c r="H9" s="1653"/>
      <c r="I9" s="1653"/>
      <c r="J9" s="1653"/>
      <c r="K9" s="1653"/>
      <c r="L9" s="1653"/>
      <c r="M9" s="1653"/>
      <c r="N9" s="1653"/>
      <c r="O9" s="1654"/>
    </row>
    <row r="10" spans="1:15" s="2" customFormat="1" ht="30" customHeight="1">
      <c r="A10" s="60">
        <v>1</v>
      </c>
      <c r="B10" s="61" t="s">
        <v>150</v>
      </c>
      <c r="C10" s="44">
        <f t="shared" ref="C10:C15" si="0">D10+G10+M10</f>
        <v>4</v>
      </c>
      <c r="D10" s="44">
        <f>E10+F10</f>
        <v>4</v>
      </c>
      <c r="E10" s="44">
        <v>4</v>
      </c>
      <c r="F10" s="44"/>
      <c r="G10" s="44"/>
      <c r="H10" s="44"/>
      <c r="I10" s="44"/>
      <c r="J10" s="44"/>
      <c r="K10" s="44"/>
      <c r="L10" s="44"/>
      <c r="M10" s="45"/>
      <c r="N10" s="45"/>
      <c r="O10" s="45"/>
    </row>
    <row r="11" spans="1:15" s="2" customFormat="1" ht="30" customHeight="1">
      <c r="A11" s="60">
        <f>A10+1</f>
        <v>2</v>
      </c>
      <c r="B11" s="61" t="s">
        <v>151</v>
      </c>
      <c r="C11" s="44">
        <f t="shared" si="0"/>
        <v>18</v>
      </c>
      <c r="D11" s="44">
        <f>E11+F11</f>
        <v>18</v>
      </c>
      <c r="E11" s="44">
        <v>18</v>
      </c>
      <c r="F11" s="44"/>
      <c r="G11" s="44"/>
      <c r="H11" s="44"/>
      <c r="I11" s="44"/>
      <c r="J11" s="44"/>
      <c r="K11" s="44"/>
      <c r="L11" s="44"/>
      <c r="M11" s="45"/>
      <c r="N11" s="45"/>
      <c r="O11" s="45"/>
    </row>
    <row r="12" spans="1:15" s="2" customFormat="1" ht="30" customHeight="1">
      <c r="A12" s="60">
        <f>A11+1</f>
        <v>3</v>
      </c>
      <c r="B12" s="61" t="s">
        <v>152</v>
      </c>
      <c r="C12" s="44">
        <f t="shared" si="0"/>
        <v>14</v>
      </c>
      <c r="D12" s="44">
        <f>E12+F12</f>
        <v>14</v>
      </c>
      <c r="E12" s="44">
        <v>14</v>
      </c>
      <c r="F12" s="44"/>
      <c r="G12" s="44"/>
      <c r="H12" s="44"/>
      <c r="I12" s="44"/>
      <c r="J12" s="44"/>
      <c r="K12" s="44"/>
      <c r="L12" s="44"/>
      <c r="M12" s="45"/>
      <c r="N12" s="45"/>
      <c r="O12" s="45"/>
    </row>
    <row r="13" spans="1:15" s="2" customFormat="1" ht="30" customHeight="1">
      <c r="A13" s="60">
        <f>A12+1</f>
        <v>4</v>
      </c>
      <c r="B13" s="61" t="s">
        <v>153</v>
      </c>
      <c r="C13" s="44">
        <f t="shared" si="0"/>
        <v>18</v>
      </c>
      <c r="D13" s="44">
        <f>E13+F13</f>
        <v>18</v>
      </c>
      <c r="E13" s="44">
        <v>18</v>
      </c>
      <c r="F13" s="44"/>
      <c r="G13" s="44"/>
      <c r="H13" s="44"/>
      <c r="I13" s="44"/>
      <c r="J13" s="44"/>
      <c r="K13" s="44"/>
      <c r="L13" s="44"/>
      <c r="M13" s="45"/>
      <c r="N13" s="45"/>
      <c r="O13" s="45"/>
    </row>
    <row r="14" spans="1:15" s="29" customFormat="1" ht="30" customHeight="1">
      <c r="A14" s="60">
        <v>5</v>
      </c>
      <c r="B14" s="61" t="s">
        <v>296</v>
      </c>
      <c r="C14" s="44">
        <f t="shared" si="0"/>
        <v>0</v>
      </c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45"/>
      <c r="O14" s="45"/>
    </row>
    <row r="15" spans="1:15" s="90" customFormat="1" ht="15" customHeight="1">
      <c r="A15" s="85"/>
      <c r="B15" s="86" t="s">
        <v>121</v>
      </c>
      <c r="C15" s="87">
        <f t="shared" si="0"/>
        <v>54</v>
      </c>
      <c r="D15" s="88">
        <f>E15+F15</f>
        <v>54</v>
      </c>
      <c r="E15" s="87">
        <f>E10+E11+E12+E13</f>
        <v>54</v>
      </c>
      <c r="F15" s="87">
        <f>F10+F11+F12+F13</f>
        <v>0</v>
      </c>
      <c r="G15" s="87"/>
      <c r="H15" s="87"/>
      <c r="I15" s="87"/>
      <c r="J15" s="87"/>
      <c r="K15" s="87"/>
      <c r="L15" s="87"/>
      <c r="M15" s="89"/>
      <c r="N15" s="89"/>
      <c r="O15" s="89"/>
    </row>
    <row r="16" spans="1:15" s="33" customFormat="1" ht="15" customHeight="1">
      <c r="A16" s="1655" t="s">
        <v>355</v>
      </c>
      <c r="B16" s="1656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7"/>
    </row>
    <row r="17" spans="1:15" s="33" customFormat="1" ht="18.75" hidden="1" customHeight="1">
      <c r="A17" s="62"/>
      <c r="B17" s="63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s="33" customFormat="1" ht="15" customHeight="1">
      <c r="A18" s="133" t="s">
        <v>261</v>
      </c>
      <c r="B18" s="63" t="s">
        <v>242</v>
      </c>
      <c r="C18" s="106">
        <f t="shared" ref="C18:C24" si="1">D18+G18+J18+M18</f>
        <v>30080</v>
      </c>
      <c r="D18" s="106"/>
      <c r="E18" s="106"/>
      <c r="F18" s="106"/>
      <c r="G18" s="106"/>
      <c r="H18" s="106"/>
      <c r="I18" s="106"/>
      <c r="J18" s="106">
        <f t="shared" ref="J18:J23" si="2">K18+L18</f>
        <v>22000</v>
      </c>
      <c r="K18" s="106">
        <v>8000</v>
      </c>
      <c r="L18" s="106">
        <v>14000</v>
      </c>
      <c r="M18" s="106">
        <f t="shared" ref="M18:M23" si="3">N18+O18</f>
        <v>8080</v>
      </c>
      <c r="N18" s="106">
        <f>12032-K18</f>
        <v>4032</v>
      </c>
      <c r="O18" s="49">
        <f>18048-L18</f>
        <v>4048</v>
      </c>
    </row>
    <row r="19" spans="1:15" s="33" customFormat="1" ht="45.75" customHeight="1">
      <c r="A19" s="133" t="s">
        <v>260</v>
      </c>
      <c r="B19" s="63" t="s">
        <v>298</v>
      </c>
      <c r="C19" s="106">
        <f t="shared" si="1"/>
        <v>20000</v>
      </c>
      <c r="D19" s="106"/>
      <c r="E19" s="106"/>
      <c r="F19" s="106"/>
      <c r="G19" s="106"/>
      <c r="H19" s="106"/>
      <c r="I19" s="106"/>
      <c r="J19" s="106">
        <f t="shared" si="2"/>
        <v>0</v>
      </c>
      <c r="K19" s="106"/>
      <c r="L19" s="106"/>
      <c r="M19" s="106">
        <f t="shared" si="3"/>
        <v>20000</v>
      </c>
      <c r="N19" s="49">
        <v>8000</v>
      </c>
      <c r="O19" s="49">
        <v>12000</v>
      </c>
    </row>
    <row r="20" spans="1:15" s="33" customFormat="1" ht="21" customHeight="1">
      <c r="A20" s="133">
        <v>6</v>
      </c>
      <c r="B20" s="63" t="s">
        <v>297</v>
      </c>
      <c r="C20" s="106">
        <f t="shared" si="1"/>
        <v>50080</v>
      </c>
      <c r="D20" s="106"/>
      <c r="E20" s="106"/>
      <c r="F20" s="106"/>
      <c r="G20" s="106"/>
      <c r="H20" s="106"/>
      <c r="I20" s="106"/>
      <c r="J20" s="106">
        <f>K20+L20</f>
        <v>22000</v>
      </c>
      <c r="K20" s="106">
        <f>K18+K19</f>
        <v>8000</v>
      </c>
      <c r="L20" s="106">
        <f>L18+L19</f>
        <v>14000</v>
      </c>
      <c r="M20" s="106">
        <f t="shared" si="3"/>
        <v>28080</v>
      </c>
      <c r="N20" s="106">
        <f>N18+N19</f>
        <v>12032</v>
      </c>
      <c r="O20" s="106">
        <f>O18+O19</f>
        <v>16048</v>
      </c>
    </row>
    <row r="21" spans="1:15" s="33" customFormat="1" ht="31.5" customHeight="1">
      <c r="A21" s="133" t="s">
        <v>314</v>
      </c>
      <c r="B21" s="63" t="s">
        <v>407</v>
      </c>
      <c r="C21" s="106">
        <f t="shared" si="1"/>
        <v>600</v>
      </c>
      <c r="D21" s="106"/>
      <c r="E21" s="106"/>
      <c r="F21" s="106"/>
      <c r="G21" s="106"/>
      <c r="H21" s="106"/>
      <c r="I21" s="106"/>
      <c r="J21" s="106">
        <f t="shared" si="2"/>
        <v>0</v>
      </c>
      <c r="K21" s="106"/>
      <c r="L21" s="106"/>
      <c r="M21" s="106">
        <f t="shared" si="3"/>
        <v>600</v>
      </c>
      <c r="N21" s="49">
        <v>240</v>
      </c>
      <c r="O21" s="49">
        <v>360</v>
      </c>
    </row>
    <row r="22" spans="1:15" s="33" customFormat="1" ht="20.100000000000001" customHeight="1">
      <c r="A22" s="133" t="s">
        <v>313</v>
      </c>
      <c r="B22" s="63" t="s">
        <v>405</v>
      </c>
      <c r="C22" s="106">
        <f t="shared" si="1"/>
        <v>3240</v>
      </c>
      <c r="D22" s="106"/>
      <c r="E22" s="106"/>
      <c r="F22" s="106"/>
      <c r="G22" s="106"/>
      <c r="H22" s="106"/>
      <c r="I22" s="106"/>
      <c r="J22" s="106">
        <f t="shared" si="2"/>
        <v>0</v>
      </c>
      <c r="K22" s="106"/>
      <c r="L22" s="106"/>
      <c r="M22" s="106">
        <f t="shared" si="3"/>
        <v>3240</v>
      </c>
      <c r="N22" s="49">
        <v>1296</v>
      </c>
      <c r="O22" s="49">
        <v>1944</v>
      </c>
    </row>
    <row r="23" spans="1:15" s="33" customFormat="1" ht="20.100000000000001" customHeight="1">
      <c r="A23" s="133" t="s">
        <v>312</v>
      </c>
      <c r="B23" s="63" t="s">
        <v>406</v>
      </c>
      <c r="C23" s="106">
        <f t="shared" si="1"/>
        <v>2970</v>
      </c>
      <c r="D23" s="106"/>
      <c r="E23" s="106"/>
      <c r="F23" s="106"/>
      <c r="G23" s="106"/>
      <c r="H23" s="106"/>
      <c r="I23" s="106"/>
      <c r="J23" s="106">
        <f t="shared" si="2"/>
        <v>0</v>
      </c>
      <c r="K23" s="106"/>
      <c r="L23" s="106"/>
      <c r="M23" s="106">
        <f t="shared" si="3"/>
        <v>2970</v>
      </c>
      <c r="N23" s="49">
        <v>1188</v>
      </c>
      <c r="O23" s="49">
        <v>1782</v>
      </c>
    </row>
    <row r="24" spans="1:15" s="33" customFormat="1" ht="20.100000000000001" customHeight="1">
      <c r="A24" s="133">
        <v>7</v>
      </c>
      <c r="B24" s="134" t="s">
        <v>376</v>
      </c>
      <c r="C24" s="106">
        <f t="shared" si="1"/>
        <v>6810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>
        <f>N24+O24</f>
        <v>6810</v>
      </c>
      <c r="N24" s="49">
        <f>N21+N22+N23</f>
        <v>2724</v>
      </c>
      <c r="O24" s="49">
        <f>O21+O22+O23</f>
        <v>4086</v>
      </c>
    </row>
    <row r="25" spans="1:15" s="90" customFormat="1" ht="15" customHeight="1">
      <c r="A25" s="85"/>
      <c r="B25" s="91" t="s">
        <v>122</v>
      </c>
      <c r="C25" s="87">
        <f>C24+C20</f>
        <v>56890</v>
      </c>
      <c r="D25" s="88">
        <f>E25+F25</f>
        <v>0</v>
      </c>
      <c r="E25" s="87"/>
      <c r="F25" s="87"/>
      <c r="G25" s="87">
        <f>H25+I25</f>
        <v>0</v>
      </c>
      <c r="H25" s="87"/>
      <c r="I25" s="87"/>
      <c r="J25" s="87">
        <f>K25+L25</f>
        <v>22000</v>
      </c>
      <c r="K25" s="92">
        <f>K20+K24</f>
        <v>8000</v>
      </c>
      <c r="L25" s="92">
        <f>L20+L24</f>
        <v>14000</v>
      </c>
      <c r="M25" s="87">
        <f>N25+O25</f>
        <v>34890</v>
      </c>
      <c r="N25" s="92">
        <f>N20+N24</f>
        <v>14756</v>
      </c>
      <c r="O25" s="92">
        <f>O20+O24</f>
        <v>20134</v>
      </c>
    </row>
    <row r="26" spans="1:15" s="1655" customFormat="1" ht="20.100000000000001" customHeight="1">
      <c r="A26" s="1658" t="s">
        <v>354</v>
      </c>
      <c r="B26" s="1659"/>
      <c r="C26" s="1659"/>
      <c r="D26" s="1659"/>
      <c r="E26" s="1659"/>
      <c r="F26" s="1659"/>
      <c r="G26" s="1659"/>
      <c r="H26" s="1659"/>
      <c r="I26" s="1659"/>
      <c r="J26" s="1659"/>
      <c r="K26" s="1659"/>
      <c r="L26" s="1659"/>
      <c r="M26" s="1659"/>
      <c r="N26" s="1659"/>
      <c r="O26" s="1659"/>
    </row>
    <row r="27" spans="1:15" s="27" customFormat="1" ht="66.75" hidden="1" customHeight="1" outlineLevel="1">
      <c r="A27" s="58"/>
      <c r="B27" s="64" t="s">
        <v>428</v>
      </c>
      <c r="C27" s="47" t="e">
        <f>#REF!+#REF!+D27+M27+G27</f>
        <v>#REF!</v>
      </c>
      <c r="D27" s="47">
        <f>E27+F27</f>
        <v>0</v>
      </c>
      <c r="E27" s="48"/>
      <c r="F27" s="48"/>
      <c r="G27" s="47">
        <f>H27+I27</f>
        <v>0</v>
      </c>
      <c r="H27" s="48"/>
      <c r="I27" s="48"/>
      <c r="J27" s="48"/>
      <c r="K27" s="48"/>
      <c r="L27" s="48"/>
      <c r="M27" s="42">
        <f t="shared" ref="M27:M34" si="4">N27+O27</f>
        <v>0</v>
      </c>
      <c r="N27" s="42"/>
      <c r="O27" s="42"/>
    </row>
    <row r="28" spans="1:15" s="1" customFormat="1" ht="30" customHeight="1" collapsed="1">
      <c r="A28" s="58">
        <v>8</v>
      </c>
      <c r="B28" s="64" t="s">
        <v>303</v>
      </c>
      <c r="C28" s="47">
        <f>D28+M28+G28+J28</f>
        <v>10000</v>
      </c>
      <c r="D28" s="47">
        <f t="shared" ref="D28:D65" si="5">E28+F28</f>
        <v>7000</v>
      </c>
      <c r="E28" s="48">
        <v>5000</v>
      </c>
      <c r="F28" s="48">
        <v>2000</v>
      </c>
      <c r="G28" s="47">
        <f>H28+I28</f>
        <v>3000</v>
      </c>
      <c r="H28" s="48">
        <v>3000</v>
      </c>
      <c r="I28" s="48"/>
      <c r="J28" s="48"/>
      <c r="K28" s="48"/>
      <c r="L28" s="48"/>
      <c r="M28" s="42">
        <f t="shared" si="4"/>
        <v>0</v>
      </c>
      <c r="N28" s="42"/>
      <c r="O28" s="42"/>
    </row>
    <row r="29" spans="1:15" s="90" customFormat="1" ht="15" customHeight="1">
      <c r="A29" s="1660" t="s">
        <v>124</v>
      </c>
      <c r="B29" s="1661"/>
      <c r="C29" s="94">
        <f>C28</f>
        <v>10000</v>
      </c>
      <c r="D29" s="94">
        <f>E29+F29</f>
        <v>7000</v>
      </c>
      <c r="E29" s="93">
        <f>E28</f>
        <v>5000</v>
      </c>
      <c r="F29" s="93">
        <f>F28</f>
        <v>2000</v>
      </c>
      <c r="G29" s="94">
        <f>H29+I29</f>
        <v>3000</v>
      </c>
      <c r="H29" s="93">
        <f>H28</f>
        <v>3000</v>
      </c>
      <c r="I29" s="93"/>
      <c r="J29" s="93"/>
      <c r="K29" s="93"/>
      <c r="L29" s="93"/>
      <c r="M29" s="95"/>
      <c r="N29" s="95"/>
      <c r="O29" s="95"/>
    </row>
    <row r="30" spans="1:15" s="1664" customFormat="1" ht="18" customHeight="1">
      <c r="A30" s="1662" t="s">
        <v>424</v>
      </c>
      <c r="B30" s="1663"/>
      <c r="C30" s="1663"/>
      <c r="D30" s="1663"/>
      <c r="E30" s="1663"/>
      <c r="F30" s="1663"/>
      <c r="G30" s="1663"/>
      <c r="H30" s="1663"/>
      <c r="I30" s="1663"/>
      <c r="J30" s="1663"/>
      <c r="K30" s="1663"/>
      <c r="L30" s="1663"/>
      <c r="M30" s="1663"/>
      <c r="N30" s="1663"/>
      <c r="O30" s="1663"/>
    </row>
    <row r="31" spans="1:15" s="24" customFormat="1" ht="57" customHeight="1">
      <c r="A31" s="58">
        <v>9</v>
      </c>
      <c r="B31" s="64" t="s">
        <v>217</v>
      </c>
      <c r="C31" s="47">
        <f>D31+M31+G31+J31</f>
        <v>1830</v>
      </c>
      <c r="D31" s="47">
        <f t="shared" si="5"/>
        <v>1180</v>
      </c>
      <c r="E31" s="48">
        <f>1200+180-200</f>
        <v>1180</v>
      </c>
      <c r="F31" s="48"/>
      <c r="G31" s="47">
        <f>H31+I31</f>
        <v>300</v>
      </c>
      <c r="H31" s="48">
        <f>600-200-100</f>
        <v>300</v>
      </c>
      <c r="I31" s="48"/>
      <c r="J31" s="47">
        <f>K31+L31</f>
        <v>350</v>
      </c>
      <c r="K31" s="48">
        <f>200+400-250</f>
        <v>350</v>
      </c>
      <c r="L31" s="48"/>
      <c r="M31" s="42">
        <f t="shared" si="4"/>
        <v>0</v>
      </c>
      <c r="N31" s="48"/>
      <c r="O31" s="42"/>
    </row>
    <row r="32" spans="1:15" s="24" customFormat="1" ht="33" customHeight="1">
      <c r="A32" s="58">
        <v>10</v>
      </c>
      <c r="B32" s="64" t="s">
        <v>440</v>
      </c>
      <c r="C32" s="47">
        <f>D32+M32+G32+J32</f>
        <v>0</v>
      </c>
      <c r="D32" s="47">
        <f t="shared" si="5"/>
        <v>0</v>
      </c>
      <c r="E32" s="48"/>
      <c r="F32" s="48"/>
      <c r="G32" s="47">
        <f>H32+I32</f>
        <v>0</v>
      </c>
      <c r="H32" s="48"/>
      <c r="I32" s="48"/>
      <c r="J32" s="48"/>
      <c r="K32" s="48"/>
      <c r="L32" s="48"/>
      <c r="M32" s="42">
        <f t="shared" si="4"/>
        <v>0</v>
      </c>
      <c r="N32" s="42"/>
      <c r="O32" s="42"/>
    </row>
    <row r="33" spans="1:15" s="24" customFormat="1" ht="20.100000000000001" customHeight="1">
      <c r="A33" s="58" t="s">
        <v>329</v>
      </c>
      <c r="B33" s="64" t="s">
        <v>66</v>
      </c>
      <c r="C33" s="47">
        <f>D33+M33+G33+J33</f>
        <v>800</v>
      </c>
      <c r="D33" s="47"/>
      <c r="E33" s="48"/>
      <c r="F33" s="48"/>
      <c r="G33" s="47">
        <f>H33+I33</f>
        <v>100</v>
      </c>
      <c r="H33" s="48">
        <f>100</f>
        <v>100</v>
      </c>
      <c r="I33" s="48"/>
      <c r="J33" s="48">
        <f>K33+L33</f>
        <v>200</v>
      </c>
      <c r="K33" s="48">
        <f>200</f>
        <v>200</v>
      </c>
      <c r="L33" s="48"/>
      <c r="M33" s="42">
        <f>N33+O33</f>
        <v>500</v>
      </c>
      <c r="N33" s="42">
        <v>500</v>
      </c>
      <c r="O33" s="42"/>
    </row>
    <row r="34" spans="1:15" s="26" customFormat="1" ht="27.75" hidden="1" customHeight="1" outlineLevel="1">
      <c r="A34" s="58"/>
      <c r="B34" s="64" t="s">
        <v>218</v>
      </c>
      <c r="C34" s="47" t="e">
        <f>#REF!+#REF!+D34+M34+G34+J34</f>
        <v>#REF!</v>
      </c>
      <c r="D34" s="47"/>
      <c r="E34" s="48"/>
      <c r="F34" s="48"/>
      <c r="G34" s="47"/>
      <c r="H34" s="48"/>
      <c r="I34" s="48"/>
      <c r="J34" s="48"/>
      <c r="K34" s="48"/>
      <c r="L34" s="48"/>
      <c r="M34" s="42">
        <f t="shared" si="4"/>
        <v>0</v>
      </c>
      <c r="N34" s="42">
        <f>1100*0</f>
        <v>0</v>
      </c>
      <c r="O34" s="42"/>
    </row>
    <row r="35" spans="1:15" s="117" customFormat="1" ht="20.100000000000001" hidden="1" customHeight="1" outlineLevel="1">
      <c r="A35" s="112" t="s">
        <v>331</v>
      </c>
      <c r="B35" s="113" t="s">
        <v>299</v>
      </c>
      <c r="C35" s="115" t="e">
        <f>#REF!+#REF!+D35+M35+G35+J35</f>
        <v>#REF!</v>
      </c>
      <c r="D35" s="115">
        <f>E35+F35</f>
        <v>0</v>
      </c>
      <c r="E35" s="114"/>
      <c r="F35" s="114"/>
      <c r="G35" s="115"/>
      <c r="H35" s="114"/>
      <c r="I35" s="114"/>
      <c r="J35" s="114">
        <f>K35+L35</f>
        <v>0</v>
      </c>
      <c r="K35" s="114">
        <f>50*0</f>
        <v>0</v>
      </c>
      <c r="L35" s="114"/>
      <c r="M35" s="116"/>
      <c r="N35" s="116"/>
      <c r="O35" s="116"/>
    </row>
    <row r="36" spans="1:15" s="117" customFormat="1" ht="20.100000000000001" hidden="1" customHeight="1" outlineLevel="1">
      <c r="A36" s="112" t="s">
        <v>330</v>
      </c>
      <c r="B36" s="113" t="s">
        <v>411</v>
      </c>
      <c r="C36" s="115" t="e">
        <f>#REF!+#REF!+D36+M36+G36+J36</f>
        <v>#REF!</v>
      </c>
      <c r="D36" s="115">
        <f>E36+F36</f>
        <v>0</v>
      </c>
      <c r="E36" s="114"/>
      <c r="F36" s="114"/>
      <c r="G36" s="115">
        <f>H36+I36</f>
        <v>0</v>
      </c>
      <c r="H36" s="114">
        <f>(250-150)*0</f>
        <v>0</v>
      </c>
      <c r="I36" s="114"/>
      <c r="J36" s="114">
        <f>K36+L36</f>
        <v>0</v>
      </c>
      <c r="K36" s="114">
        <f>(300+150)*0</f>
        <v>0</v>
      </c>
      <c r="L36" s="114"/>
      <c r="M36" s="116"/>
      <c r="N36" s="116"/>
      <c r="O36" s="116"/>
    </row>
    <row r="37" spans="1:15" s="27" customFormat="1" ht="30" hidden="1" customHeight="1" outlineLevel="1">
      <c r="A37" s="58"/>
      <c r="B37" s="64" t="s">
        <v>245</v>
      </c>
      <c r="C37" s="47" t="e">
        <f>#REF!+#REF!+D37+M37+G37+J37</f>
        <v>#REF!</v>
      </c>
      <c r="D37" s="47">
        <f>E37</f>
        <v>0</v>
      </c>
      <c r="E37" s="48"/>
      <c r="F37" s="48"/>
      <c r="G37" s="47"/>
      <c r="H37" s="48"/>
      <c r="I37" s="48"/>
      <c r="J37" s="48"/>
      <c r="K37" s="48"/>
      <c r="L37" s="48"/>
      <c r="M37" s="42"/>
      <c r="N37" s="42"/>
      <c r="O37" s="42"/>
    </row>
    <row r="38" spans="1:15" s="27" customFormat="1" ht="33.75" hidden="1" customHeight="1" outlineLevel="1">
      <c r="A38" s="58"/>
      <c r="B38" s="64" t="s">
        <v>212</v>
      </c>
      <c r="C38" s="47" t="e">
        <f>#REF!+#REF!+D38+M38+G38+J38</f>
        <v>#REF!</v>
      </c>
      <c r="D38" s="47"/>
      <c r="E38" s="48"/>
      <c r="F38" s="48"/>
      <c r="G38" s="47"/>
      <c r="H38" s="48"/>
      <c r="I38" s="48"/>
      <c r="J38" s="48"/>
      <c r="K38" s="48"/>
      <c r="L38" s="48"/>
      <c r="M38" s="42"/>
      <c r="N38" s="42"/>
      <c r="O38" s="42"/>
    </row>
    <row r="39" spans="1:15" s="26" customFormat="1" ht="20.100000000000001" customHeight="1" collapsed="1">
      <c r="A39" s="58" t="s">
        <v>328</v>
      </c>
      <c r="B39" s="64" t="s">
        <v>219</v>
      </c>
      <c r="C39" s="47">
        <f>D39+M39+G39+J39</f>
        <v>70</v>
      </c>
      <c r="D39" s="47">
        <f t="shared" si="5"/>
        <v>70</v>
      </c>
      <c r="E39" s="48">
        <v>70</v>
      </c>
      <c r="F39" s="48"/>
      <c r="G39" s="47"/>
      <c r="H39" s="48"/>
      <c r="I39" s="48"/>
      <c r="J39" s="48"/>
      <c r="K39" s="48"/>
      <c r="L39" s="48"/>
      <c r="M39" s="42"/>
      <c r="N39" s="42"/>
      <c r="O39" s="42"/>
    </row>
    <row r="40" spans="1:15" s="26" customFormat="1" ht="20.100000000000001" customHeight="1">
      <c r="A40" s="58" t="s">
        <v>327</v>
      </c>
      <c r="B40" s="64" t="s">
        <v>210</v>
      </c>
      <c r="C40" s="47">
        <f>D40+M40+G40+J40</f>
        <v>0</v>
      </c>
      <c r="D40" s="47">
        <f t="shared" si="5"/>
        <v>0</v>
      </c>
      <c r="E40" s="48"/>
      <c r="F40" s="48"/>
      <c r="G40" s="47"/>
      <c r="H40" s="48"/>
      <c r="I40" s="48"/>
      <c r="J40" s="48"/>
      <c r="K40" s="48"/>
      <c r="L40" s="48"/>
      <c r="M40" s="42"/>
      <c r="N40" s="42"/>
      <c r="O40" s="42"/>
    </row>
    <row r="41" spans="1:15" s="26" customFormat="1" ht="20.100000000000001" customHeight="1">
      <c r="A41" s="58" t="s">
        <v>326</v>
      </c>
      <c r="B41" s="64" t="s">
        <v>360</v>
      </c>
      <c r="C41" s="47">
        <f>D41+M41+G41+J41</f>
        <v>50</v>
      </c>
      <c r="D41" s="47">
        <f t="shared" si="5"/>
        <v>50</v>
      </c>
      <c r="E41" s="48">
        <v>50</v>
      </c>
      <c r="F41" s="48"/>
      <c r="G41" s="47"/>
      <c r="H41" s="48"/>
      <c r="I41" s="48"/>
      <c r="J41" s="48"/>
      <c r="K41" s="48"/>
      <c r="L41" s="48"/>
      <c r="M41" s="42"/>
      <c r="N41" s="42"/>
      <c r="O41" s="42"/>
    </row>
    <row r="42" spans="1:15" s="117" customFormat="1" ht="20.100000000000001" hidden="1" customHeight="1" outlineLevel="1">
      <c r="A42" s="118" t="s">
        <v>326</v>
      </c>
      <c r="B42" s="119" t="s">
        <v>361</v>
      </c>
      <c r="C42" s="115" t="e">
        <f>#REF!+#REF!+D42+M42+G42+J42</f>
        <v>#REF!</v>
      </c>
      <c r="D42" s="115"/>
      <c r="E42" s="114"/>
      <c r="F42" s="114"/>
      <c r="G42" s="115"/>
      <c r="H42" s="114"/>
      <c r="I42" s="114"/>
      <c r="J42" s="114">
        <f>K42+L42</f>
        <v>0</v>
      </c>
      <c r="K42" s="114">
        <f>500*0</f>
        <v>0</v>
      </c>
      <c r="L42" s="114"/>
      <c r="M42" s="114">
        <f>N42+O42</f>
        <v>0</v>
      </c>
      <c r="N42" s="116">
        <f>500*0</f>
        <v>0</v>
      </c>
      <c r="O42" s="116"/>
    </row>
    <row r="43" spans="1:15" s="27" customFormat="1" ht="25.5" hidden="1" outlineLevel="1">
      <c r="A43" s="65"/>
      <c r="B43" s="67" t="s">
        <v>149</v>
      </c>
      <c r="C43" s="47" t="e">
        <f>#REF!+#REF!+D43+M43+G43+J43</f>
        <v>#REF!</v>
      </c>
      <c r="D43" s="47">
        <f t="shared" si="5"/>
        <v>0</v>
      </c>
      <c r="E43" s="48"/>
      <c r="F43" s="48"/>
      <c r="G43" s="47">
        <f>H43+I43</f>
        <v>0</v>
      </c>
      <c r="H43" s="48"/>
      <c r="I43" s="48"/>
      <c r="J43" s="48"/>
      <c r="K43" s="48"/>
      <c r="L43" s="48"/>
      <c r="M43" s="42">
        <f>N43+O43</f>
        <v>0</v>
      </c>
      <c r="N43" s="42"/>
      <c r="O43" s="42"/>
    </row>
    <row r="44" spans="1:15" s="27" customFormat="1" ht="8.25" hidden="1" customHeight="1" outlineLevel="1">
      <c r="A44" s="65"/>
      <c r="B44" s="67" t="s">
        <v>238</v>
      </c>
      <c r="C44" s="47" t="e">
        <f>#REF!+#REF!+D44+M44+G44+J44</f>
        <v>#REF!</v>
      </c>
      <c r="D44" s="47">
        <f t="shared" si="5"/>
        <v>0</v>
      </c>
      <c r="E44" s="48"/>
      <c r="F44" s="48"/>
      <c r="G44" s="47">
        <f t="shared" ref="G44:G63" si="6">H44+I44</f>
        <v>0</v>
      </c>
      <c r="H44" s="48"/>
      <c r="I44" s="48"/>
      <c r="J44" s="48"/>
      <c r="K44" s="48"/>
      <c r="L44" s="48"/>
      <c r="M44" s="42">
        <f t="shared" ref="M44:M57" si="7">N44+O44</f>
        <v>0</v>
      </c>
      <c r="N44" s="42"/>
      <c r="O44" s="42"/>
    </row>
    <row r="45" spans="1:15" s="26" customFormat="1" ht="20.100000000000001" customHeight="1" collapsed="1">
      <c r="A45" s="65" t="s">
        <v>325</v>
      </c>
      <c r="B45" s="66" t="s">
        <v>220</v>
      </c>
      <c r="C45" s="47">
        <f>D45+M45+G45+J45</f>
        <v>100</v>
      </c>
      <c r="D45" s="47">
        <f t="shared" si="5"/>
        <v>100</v>
      </c>
      <c r="E45" s="48">
        <v>100</v>
      </c>
      <c r="F45" s="48"/>
      <c r="G45" s="47">
        <f t="shared" si="6"/>
        <v>0</v>
      </c>
      <c r="H45" s="48"/>
      <c r="I45" s="48"/>
      <c r="J45" s="48"/>
      <c r="K45" s="48"/>
      <c r="L45" s="48"/>
      <c r="M45" s="42">
        <f t="shared" si="7"/>
        <v>0</v>
      </c>
      <c r="N45" s="42"/>
      <c r="O45" s="42"/>
    </row>
    <row r="46" spans="1:15" s="27" customFormat="1" ht="30.75" hidden="1" customHeight="1" outlineLevel="1">
      <c r="A46" s="68"/>
      <c r="B46" s="67" t="s">
        <v>429</v>
      </c>
      <c r="C46" s="47" t="e">
        <f>#REF!+#REF!+D46+M46+G46+J46</f>
        <v>#REF!</v>
      </c>
      <c r="D46" s="47">
        <f t="shared" si="5"/>
        <v>0</v>
      </c>
      <c r="E46" s="48"/>
      <c r="F46" s="48"/>
      <c r="G46" s="47">
        <f t="shared" si="6"/>
        <v>0</v>
      </c>
      <c r="H46" s="48"/>
      <c r="I46" s="48"/>
      <c r="J46" s="48"/>
      <c r="K46" s="48"/>
      <c r="L46" s="48"/>
      <c r="M46" s="42">
        <f t="shared" si="7"/>
        <v>0</v>
      </c>
      <c r="N46" s="42"/>
      <c r="O46" s="42"/>
    </row>
    <row r="47" spans="1:15" s="26" customFormat="1" ht="20.100000000000001" customHeight="1" collapsed="1">
      <c r="A47" s="68" t="s">
        <v>324</v>
      </c>
      <c r="B47" s="67" t="s">
        <v>430</v>
      </c>
      <c r="C47" s="47">
        <f>D47+M47+G47+J47</f>
        <v>100</v>
      </c>
      <c r="D47" s="47">
        <f t="shared" si="5"/>
        <v>100</v>
      </c>
      <c r="E47" s="48">
        <v>100</v>
      </c>
      <c r="F47" s="48"/>
      <c r="G47" s="47">
        <f t="shared" si="6"/>
        <v>0</v>
      </c>
      <c r="H47" s="48"/>
      <c r="I47" s="48"/>
      <c r="J47" s="48"/>
      <c r="K47" s="48"/>
      <c r="L47" s="48"/>
      <c r="M47" s="42">
        <f t="shared" si="7"/>
        <v>0</v>
      </c>
      <c r="N47" s="42"/>
      <c r="O47" s="42"/>
    </row>
    <row r="48" spans="1:15" s="27" customFormat="1" ht="27" hidden="1" customHeight="1" outlineLevel="1">
      <c r="A48" s="68"/>
      <c r="B48" s="67" t="s">
        <v>240</v>
      </c>
      <c r="C48" s="47" t="e">
        <f>#REF!+#REF!+D48+M48+G48+J48</f>
        <v>#REF!</v>
      </c>
      <c r="D48" s="47">
        <f>E48+F48</f>
        <v>0</v>
      </c>
      <c r="E48" s="48"/>
      <c r="F48" s="48"/>
      <c r="G48" s="47">
        <f t="shared" si="6"/>
        <v>0</v>
      </c>
      <c r="H48" s="48"/>
      <c r="I48" s="48"/>
      <c r="J48" s="48"/>
      <c r="K48" s="48"/>
      <c r="L48" s="48"/>
      <c r="M48" s="42">
        <f t="shared" si="7"/>
        <v>0</v>
      </c>
      <c r="N48" s="42"/>
      <c r="O48" s="42"/>
    </row>
    <row r="49" spans="1:15" s="27" customFormat="1" ht="30.75" hidden="1" customHeight="1" outlineLevel="1">
      <c r="A49" s="68"/>
      <c r="B49" s="67" t="s">
        <v>155</v>
      </c>
      <c r="C49" s="47" t="e">
        <f>#REF!+#REF!+D49+M49+G49+J49</f>
        <v>#REF!</v>
      </c>
      <c r="D49" s="47">
        <f t="shared" si="5"/>
        <v>0</v>
      </c>
      <c r="E49" s="48"/>
      <c r="F49" s="48"/>
      <c r="G49" s="47">
        <f t="shared" si="6"/>
        <v>0</v>
      </c>
      <c r="H49" s="48"/>
      <c r="I49" s="48"/>
      <c r="J49" s="48"/>
      <c r="K49" s="48"/>
      <c r="L49" s="48"/>
      <c r="M49" s="42">
        <f t="shared" si="7"/>
        <v>0</v>
      </c>
      <c r="N49" s="42"/>
      <c r="O49" s="42"/>
    </row>
    <row r="50" spans="1:15" s="27" customFormat="1" ht="15.75" hidden="1" outlineLevel="1">
      <c r="A50" s="68"/>
      <c r="B50" s="67" t="s">
        <v>466</v>
      </c>
      <c r="C50" s="47" t="e">
        <f>#REF!+#REF!+D50+M50+G50+J50</f>
        <v>#REF!</v>
      </c>
      <c r="D50" s="47">
        <f t="shared" si="5"/>
        <v>0</v>
      </c>
      <c r="E50" s="48"/>
      <c r="F50" s="48"/>
      <c r="G50" s="47">
        <f t="shared" si="6"/>
        <v>0</v>
      </c>
      <c r="H50" s="48"/>
      <c r="I50" s="48"/>
      <c r="J50" s="48"/>
      <c r="K50" s="48"/>
      <c r="L50" s="48"/>
      <c r="M50" s="42">
        <f t="shared" si="7"/>
        <v>0</v>
      </c>
      <c r="N50" s="42"/>
      <c r="O50" s="42"/>
    </row>
    <row r="51" spans="1:15" s="27" customFormat="1" ht="15.75" hidden="1" outlineLevel="1">
      <c r="A51" s="68"/>
      <c r="B51" s="67" t="s">
        <v>239</v>
      </c>
      <c r="C51" s="47" t="e">
        <f>#REF!+#REF!+D51+M51+G51+J51</f>
        <v>#REF!</v>
      </c>
      <c r="D51" s="47">
        <f t="shared" si="5"/>
        <v>0</v>
      </c>
      <c r="E51" s="48"/>
      <c r="F51" s="48"/>
      <c r="G51" s="47">
        <f t="shared" si="6"/>
        <v>0</v>
      </c>
      <c r="H51" s="48"/>
      <c r="I51" s="48"/>
      <c r="J51" s="48"/>
      <c r="K51" s="48"/>
      <c r="L51" s="48"/>
      <c r="M51" s="42">
        <f t="shared" si="7"/>
        <v>0</v>
      </c>
      <c r="N51" s="42"/>
      <c r="O51" s="42"/>
    </row>
    <row r="52" spans="1:15" s="27" customFormat="1" ht="15.75" hidden="1" outlineLevel="1">
      <c r="A52" s="68"/>
      <c r="B52" s="67" t="s">
        <v>147</v>
      </c>
      <c r="C52" s="47" t="e">
        <f>#REF!+#REF!+D52+M52+G52+J52</f>
        <v>#REF!</v>
      </c>
      <c r="D52" s="47">
        <f t="shared" si="5"/>
        <v>0</v>
      </c>
      <c r="E52" s="48"/>
      <c r="F52" s="48"/>
      <c r="G52" s="47">
        <f t="shared" si="6"/>
        <v>0</v>
      </c>
      <c r="H52" s="48"/>
      <c r="I52" s="48"/>
      <c r="J52" s="48"/>
      <c r="K52" s="48"/>
      <c r="L52" s="48"/>
      <c r="M52" s="42">
        <f t="shared" si="7"/>
        <v>0</v>
      </c>
      <c r="N52" s="42"/>
      <c r="O52" s="42"/>
    </row>
    <row r="53" spans="1:15" s="117" customFormat="1" ht="20.100000000000001" hidden="1" customHeight="1" outlineLevel="1">
      <c r="A53" s="120" t="s">
        <v>324</v>
      </c>
      <c r="B53" s="121" t="s">
        <v>362</v>
      </c>
      <c r="C53" s="115" t="e">
        <f>#REF!+#REF!+D53+M53+G53+J53</f>
        <v>#REF!</v>
      </c>
      <c r="D53" s="115">
        <f t="shared" si="5"/>
        <v>0</v>
      </c>
      <c r="E53" s="114"/>
      <c r="F53" s="114"/>
      <c r="G53" s="115">
        <f t="shared" si="6"/>
        <v>0</v>
      </c>
      <c r="H53" s="114">
        <f>100*0</f>
        <v>0</v>
      </c>
      <c r="I53" s="114"/>
      <c r="J53" s="114"/>
      <c r="K53" s="114"/>
      <c r="L53" s="114"/>
      <c r="M53" s="116">
        <f t="shared" si="7"/>
        <v>0</v>
      </c>
      <c r="N53" s="116"/>
      <c r="O53" s="116"/>
    </row>
    <row r="54" spans="1:15" s="24" customFormat="1" ht="20.100000000000001" customHeight="1" collapsed="1">
      <c r="A54" s="68" t="s">
        <v>323</v>
      </c>
      <c r="B54" s="67" t="s">
        <v>363</v>
      </c>
      <c r="C54" s="47">
        <f>D54+M54+G54+J54</f>
        <v>450</v>
      </c>
      <c r="D54" s="47">
        <f t="shared" si="5"/>
        <v>0</v>
      </c>
      <c r="E54" s="48"/>
      <c r="F54" s="48"/>
      <c r="G54" s="47">
        <f t="shared" si="6"/>
        <v>450</v>
      </c>
      <c r="H54" s="48">
        <f>450</f>
        <v>450</v>
      </c>
      <c r="I54" s="48"/>
      <c r="J54" s="48"/>
      <c r="K54" s="48"/>
      <c r="L54" s="48"/>
      <c r="M54" s="42">
        <f t="shared" si="7"/>
        <v>0</v>
      </c>
      <c r="N54" s="42"/>
      <c r="O54" s="42"/>
    </row>
    <row r="55" spans="1:15" s="27" customFormat="1" ht="25.5" hidden="1" outlineLevel="1">
      <c r="A55" s="68"/>
      <c r="B55" s="67" t="s">
        <v>241</v>
      </c>
      <c r="C55" s="47" t="e">
        <f>#REF!+#REF!+D55+M55+G55+J55</f>
        <v>#REF!</v>
      </c>
      <c r="D55" s="47">
        <f t="shared" si="5"/>
        <v>0</v>
      </c>
      <c r="E55" s="48"/>
      <c r="F55" s="48"/>
      <c r="G55" s="47">
        <f t="shared" si="6"/>
        <v>0</v>
      </c>
      <c r="H55" s="48"/>
      <c r="I55" s="48"/>
      <c r="J55" s="48"/>
      <c r="K55" s="48"/>
      <c r="L55" s="48"/>
      <c r="M55" s="42">
        <f t="shared" si="7"/>
        <v>0</v>
      </c>
      <c r="N55" s="42"/>
      <c r="O55" s="42"/>
    </row>
    <row r="56" spans="1:15" s="27" customFormat="1" ht="35.25" hidden="1" customHeight="1" outlineLevel="1">
      <c r="A56" s="68"/>
      <c r="B56" s="67" t="s">
        <v>148</v>
      </c>
      <c r="C56" s="47" t="e">
        <f>#REF!+#REF!+D56+M56+G56+J56</f>
        <v>#REF!</v>
      </c>
      <c r="D56" s="47">
        <f>E56+F56</f>
        <v>0</v>
      </c>
      <c r="E56" s="48"/>
      <c r="F56" s="48"/>
      <c r="G56" s="47">
        <f t="shared" si="6"/>
        <v>0</v>
      </c>
      <c r="H56" s="48"/>
      <c r="I56" s="48"/>
      <c r="J56" s="48"/>
      <c r="K56" s="48"/>
      <c r="L56" s="48"/>
      <c r="M56" s="42">
        <f t="shared" si="7"/>
        <v>0</v>
      </c>
      <c r="N56" s="42"/>
      <c r="O56" s="42"/>
    </row>
    <row r="57" spans="1:15" s="27" customFormat="1" ht="15.75" hidden="1" outlineLevel="1">
      <c r="A57" s="68"/>
      <c r="B57" s="67" t="s">
        <v>154</v>
      </c>
      <c r="C57" s="47" t="e">
        <f>#REF!+#REF!+D57+M57+G57+J57</f>
        <v>#REF!</v>
      </c>
      <c r="D57" s="47">
        <f>E57+F57</f>
        <v>0</v>
      </c>
      <c r="E57" s="48"/>
      <c r="F57" s="48"/>
      <c r="G57" s="47">
        <f t="shared" si="6"/>
        <v>0</v>
      </c>
      <c r="H57" s="48"/>
      <c r="I57" s="48"/>
      <c r="J57" s="48"/>
      <c r="K57" s="48"/>
      <c r="L57" s="48"/>
      <c r="M57" s="42">
        <f t="shared" si="7"/>
        <v>0</v>
      </c>
      <c r="N57" s="48"/>
      <c r="O57" s="42"/>
    </row>
    <row r="58" spans="1:15" s="1" customFormat="1" ht="20.100000000000001" customHeight="1" collapsed="1">
      <c r="A58" s="68" t="s">
        <v>322</v>
      </c>
      <c r="B58" s="67" t="s">
        <v>412</v>
      </c>
      <c r="C58" s="47">
        <f t="shared" ref="C58:C68" si="8">D58+M58+G58+J58</f>
        <v>350</v>
      </c>
      <c r="D58" s="47"/>
      <c r="E58" s="48"/>
      <c r="F58" s="48"/>
      <c r="G58" s="47">
        <f t="shared" si="6"/>
        <v>350</v>
      </c>
      <c r="H58" s="48">
        <v>350</v>
      </c>
      <c r="I58" s="48"/>
      <c r="J58" s="48"/>
      <c r="K58" s="48"/>
      <c r="L58" s="48"/>
      <c r="M58" s="45"/>
      <c r="N58" s="42"/>
      <c r="O58" s="42"/>
    </row>
    <row r="59" spans="1:15" s="26" customFormat="1" ht="20.100000000000001" customHeight="1">
      <c r="A59" s="68" t="s">
        <v>321</v>
      </c>
      <c r="B59" s="64" t="s">
        <v>364</v>
      </c>
      <c r="C59" s="47">
        <f t="shared" si="8"/>
        <v>260</v>
      </c>
      <c r="D59" s="47">
        <f>E59+F59</f>
        <v>260</v>
      </c>
      <c r="E59" s="48">
        <v>260</v>
      </c>
      <c r="F59" s="48"/>
      <c r="G59" s="47">
        <f t="shared" si="6"/>
        <v>0</v>
      </c>
      <c r="H59" s="48"/>
      <c r="I59" s="48"/>
      <c r="J59" s="48"/>
      <c r="K59" s="48"/>
      <c r="L59" s="48"/>
      <c r="M59" s="42">
        <f t="shared" ref="M59:M65" si="9">N59+O59</f>
        <v>0</v>
      </c>
      <c r="N59" s="48"/>
      <c r="O59" s="42"/>
    </row>
    <row r="60" spans="1:15" s="26" customFormat="1" ht="20.100000000000001" customHeight="1">
      <c r="A60" s="68" t="s">
        <v>320</v>
      </c>
      <c r="B60" s="67" t="s">
        <v>413</v>
      </c>
      <c r="C60" s="47">
        <f t="shared" si="8"/>
        <v>0</v>
      </c>
      <c r="D60" s="47">
        <f>E60+F60</f>
        <v>0</v>
      </c>
      <c r="E60" s="48"/>
      <c r="F60" s="48"/>
      <c r="G60" s="47">
        <f t="shared" si="6"/>
        <v>0</v>
      </c>
      <c r="H60" s="48"/>
      <c r="I60" s="48"/>
      <c r="J60" s="48"/>
      <c r="K60" s="48"/>
      <c r="L60" s="48"/>
      <c r="M60" s="42">
        <f t="shared" si="9"/>
        <v>0</v>
      </c>
      <c r="N60" s="42"/>
      <c r="O60" s="42"/>
    </row>
    <row r="61" spans="1:15" s="26" customFormat="1" ht="20.100000000000001" customHeight="1">
      <c r="A61" s="68" t="s">
        <v>319</v>
      </c>
      <c r="B61" s="67" t="s">
        <v>431</v>
      </c>
      <c r="C61" s="47">
        <f t="shared" si="8"/>
        <v>150</v>
      </c>
      <c r="D61" s="47">
        <f>E61+F61</f>
        <v>0</v>
      </c>
      <c r="E61" s="48">
        <f>150*0</f>
        <v>0</v>
      </c>
      <c r="F61" s="48"/>
      <c r="G61" s="47">
        <f t="shared" si="6"/>
        <v>0</v>
      </c>
      <c r="H61" s="48"/>
      <c r="I61" s="48"/>
      <c r="J61" s="48">
        <f>K61+L61</f>
        <v>150</v>
      </c>
      <c r="K61" s="48">
        <v>150</v>
      </c>
      <c r="L61" s="48"/>
      <c r="M61" s="42">
        <f t="shared" si="9"/>
        <v>0</v>
      </c>
      <c r="N61" s="42"/>
      <c r="O61" s="42"/>
    </row>
    <row r="62" spans="1:15" s="1" customFormat="1" ht="20.100000000000001" customHeight="1">
      <c r="A62" s="68" t="s">
        <v>318</v>
      </c>
      <c r="B62" s="67" t="s">
        <v>414</v>
      </c>
      <c r="C62" s="47">
        <f t="shared" si="8"/>
        <v>0</v>
      </c>
      <c r="D62" s="47">
        <f>E62+F62</f>
        <v>0</v>
      </c>
      <c r="E62" s="48"/>
      <c r="F62" s="48"/>
      <c r="G62" s="47">
        <f t="shared" si="6"/>
        <v>0</v>
      </c>
      <c r="H62" s="48"/>
      <c r="I62" s="48"/>
      <c r="J62" s="48"/>
      <c r="K62" s="48"/>
      <c r="L62" s="48"/>
      <c r="M62" s="42">
        <f t="shared" si="9"/>
        <v>0</v>
      </c>
      <c r="N62" s="42"/>
      <c r="O62" s="42"/>
    </row>
    <row r="63" spans="1:15" s="1" customFormat="1" ht="20.100000000000001" customHeight="1">
      <c r="A63" s="68" t="s">
        <v>317</v>
      </c>
      <c r="B63" s="67" t="s">
        <v>416</v>
      </c>
      <c r="C63" s="47">
        <f t="shared" si="8"/>
        <v>0</v>
      </c>
      <c r="D63" s="47">
        <f>E63+F63</f>
        <v>0</v>
      </c>
      <c r="E63" s="48"/>
      <c r="F63" s="48"/>
      <c r="G63" s="47">
        <f t="shared" si="6"/>
        <v>0</v>
      </c>
      <c r="H63" s="48"/>
      <c r="I63" s="48"/>
      <c r="J63" s="48"/>
      <c r="K63" s="48"/>
      <c r="L63" s="48"/>
      <c r="M63" s="42">
        <f t="shared" si="9"/>
        <v>0</v>
      </c>
      <c r="N63" s="42"/>
      <c r="O63" s="42"/>
    </row>
    <row r="64" spans="1:15" s="1" customFormat="1" ht="15.75">
      <c r="A64" s="68" t="s">
        <v>316</v>
      </c>
      <c r="B64" s="67" t="s">
        <v>146</v>
      </c>
      <c r="C64" s="47">
        <f t="shared" si="8"/>
        <v>0</v>
      </c>
      <c r="D64" s="47">
        <f t="shared" si="5"/>
        <v>0</v>
      </c>
      <c r="E64" s="48"/>
      <c r="F64" s="48"/>
      <c r="G64" s="47">
        <f>H64+I64</f>
        <v>0</v>
      </c>
      <c r="H64" s="48"/>
      <c r="I64" s="48"/>
      <c r="J64" s="48"/>
      <c r="K64" s="48"/>
      <c r="L64" s="48"/>
      <c r="M64" s="42">
        <f t="shared" si="9"/>
        <v>0</v>
      </c>
      <c r="N64" s="42"/>
      <c r="O64" s="42"/>
    </row>
    <row r="65" spans="1:15" s="26" customFormat="1" ht="20.100000000000001" customHeight="1">
      <c r="A65" s="68" t="s">
        <v>315</v>
      </c>
      <c r="B65" s="67" t="s">
        <v>132</v>
      </c>
      <c r="C65" s="47">
        <f t="shared" si="8"/>
        <v>0</v>
      </c>
      <c r="D65" s="47">
        <f t="shared" si="5"/>
        <v>0</v>
      </c>
      <c r="E65" s="48"/>
      <c r="F65" s="48"/>
      <c r="G65" s="47">
        <f>H65+I65</f>
        <v>0</v>
      </c>
      <c r="H65" s="48"/>
      <c r="I65" s="48"/>
      <c r="J65" s="48"/>
      <c r="K65" s="48"/>
      <c r="L65" s="48"/>
      <c r="M65" s="42">
        <f t="shared" si="9"/>
        <v>0</v>
      </c>
      <c r="N65" s="42"/>
      <c r="O65" s="42"/>
    </row>
    <row r="66" spans="1:15" s="54" customFormat="1" ht="30" customHeight="1">
      <c r="A66" s="58">
        <v>11</v>
      </c>
      <c r="B66" s="69" t="s">
        <v>373</v>
      </c>
      <c r="C66" s="47">
        <f t="shared" si="8"/>
        <v>2330</v>
      </c>
      <c r="D66" s="47">
        <f>E66+F66</f>
        <v>580</v>
      </c>
      <c r="E66" s="47">
        <f>SUM(E33:E65)</f>
        <v>580</v>
      </c>
      <c r="F66" s="47">
        <f>SUM(F39:F65)</f>
        <v>0</v>
      </c>
      <c r="G66" s="47">
        <f>H66+I66</f>
        <v>900</v>
      </c>
      <c r="H66" s="47">
        <f>SUM(H33:H65)</f>
        <v>900</v>
      </c>
      <c r="I66" s="47">
        <f>SUM(I39:I65)</f>
        <v>0</v>
      </c>
      <c r="J66" s="47">
        <f>K66+L66</f>
        <v>350</v>
      </c>
      <c r="K66" s="47">
        <f>SUM(K33:K65)</f>
        <v>350</v>
      </c>
      <c r="L66" s="47">
        <f>SUM(L39:L65)</f>
        <v>0</v>
      </c>
      <c r="M66" s="47">
        <f>N66+O66</f>
        <v>500</v>
      </c>
      <c r="N66" s="47">
        <f>SUM(N33:N65)</f>
        <v>500</v>
      </c>
      <c r="O66" s="47">
        <f>SUM(O39:O65)</f>
        <v>0</v>
      </c>
    </row>
    <row r="67" spans="1:15" s="2" customFormat="1" ht="19.5" customHeight="1">
      <c r="A67" s="58">
        <v>12</v>
      </c>
      <c r="B67" s="69" t="s">
        <v>359</v>
      </c>
      <c r="C67" s="47">
        <f t="shared" si="8"/>
        <v>200</v>
      </c>
      <c r="D67" s="47">
        <f>E67+F67</f>
        <v>200</v>
      </c>
      <c r="E67" s="47">
        <f>200</f>
        <v>200</v>
      </c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s="90" customFormat="1" ht="15" customHeight="1">
      <c r="A68" s="1665" t="s">
        <v>293</v>
      </c>
      <c r="B68" s="1665"/>
      <c r="C68" s="96">
        <f t="shared" si="8"/>
        <v>4360</v>
      </c>
      <c r="D68" s="92">
        <f>E68+F68</f>
        <v>1960</v>
      </c>
      <c r="E68" s="92">
        <f>E67+E66+E31+E32</f>
        <v>1960</v>
      </c>
      <c r="F68" s="92">
        <f>F66+SUM(F31:F32)</f>
        <v>0</v>
      </c>
      <c r="G68" s="92">
        <f>H68+I68</f>
        <v>1200</v>
      </c>
      <c r="H68" s="92">
        <f>H67+H66+H32+H31</f>
        <v>1200</v>
      </c>
      <c r="I68" s="92">
        <f>I66+SUM(I28:I32)</f>
        <v>0</v>
      </c>
      <c r="J68" s="92">
        <f>K68+L68</f>
        <v>700</v>
      </c>
      <c r="K68" s="92">
        <f>K67+K66+K32+K31</f>
        <v>700</v>
      </c>
      <c r="L68" s="92">
        <f>L66+SUM(L28:L32)</f>
        <v>0</v>
      </c>
      <c r="M68" s="92">
        <f>N68+O68</f>
        <v>500</v>
      </c>
      <c r="N68" s="92">
        <f>N67+N66+N32+N31</f>
        <v>500</v>
      </c>
      <c r="O68" s="92">
        <f>O66+SUM(O28:O32)</f>
        <v>0</v>
      </c>
    </row>
    <row r="69" spans="1:15" s="1" customFormat="1" ht="15" customHeight="1">
      <c r="A69" s="1652" t="s">
        <v>426</v>
      </c>
      <c r="B69" s="1653"/>
      <c r="C69" s="1653"/>
      <c r="D69" s="1653"/>
      <c r="E69" s="1653"/>
      <c r="F69" s="1653"/>
      <c r="G69" s="1653"/>
      <c r="H69" s="1653"/>
      <c r="I69" s="1653"/>
      <c r="J69" s="1653"/>
      <c r="K69" s="1653"/>
      <c r="L69" s="1653"/>
      <c r="M69" s="1653"/>
      <c r="N69" s="1653"/>
      <c r="O69" s="1654"/>
    </row>
    <row r="70" spans="1:15" s="1" customFormat="1" ht="29.25" hidden="1" customHeight="1">
      <c r="A70" s="58">
        <v>12</v>
      </c>
      <c r="B70" s="64" t="s">
        <v>417</v>
      </c>
      <c r="C70" s="47" t="e">
        <f>#REF!+#REF!+D70+M70+G70</f>
        <v>#REF!</v>
      </c>
      <c r="D70" s="48">
        <f>E70+F70</f>
        <v>0</v>
      </c>
      <c r="E70" s="48"/>
      <c r="F70" s="48"/>
      <c r="G70" s="48">
        <f>H70+I70</f>
        <v>0</v>
      </c>
      <c r="H70" s="48"/>
      <c r="I70" s="48"/>
      <c r="J70" s="48"/>
      <c r="K70" s="48"/>
      <c r="L70" s="48"/>
      <c r="M70" s="42"/>
      <c r="N70" s="42"/>
      <c r="O70" s="42"/>
    </row>
    <row r="71" spans="1:15" s="27" customFormat="1" ht="33.75" hidden="1" customHeight="1" outlineLevel="1">
      <c r="A71" s="58"/>
      <c r="B71" s="64" t="s">
        <v>300</v>
      </c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2"/>
      <c r="N71" s="42"/>
      <c r="O71" s="42"/>
    </row>
    <row r="72" spans="1:15" s="27" customFormat="1" ht="31.5" hidden="1" customHeight="1" outlineLevel="1">
      <c r="A72" s="58"/>
      <c r="B72" s="64" t="s">
        <v>301</v>
      </c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2"/>
      <c r="N72" s="42"/>
      <c r="O72" s="42"/>
    </row>
    <row r="73" spans="1:15" s="27" customFormat="1" ht="26.25" hidden="1" customHeight="1" outlineLevel="1">
      <c r="A73" s="58"/>
      <c r="B73" s="64" t="s">
        <v>226</v>
      </c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2"/>
      <c r="N73" s="42"/>
      <c r="O73" s="42"/>
    </row>
    <row r="74" spans="1:15" s="27" customFormat="1" ht="25.5" hidden="1" outlineLevel="1">
      <c r="A74" s="58"/>
      <c r="B74" s="64" t="s">
        <v>227</v>
      </c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2"/>
      <c r="N74" s="42"/>
      <c r="O74" s="42"/>
    </row>
    <row r="75" spans="1:15" s="27" customFormat="1" ht="25.5" hidden="1" outlineLevel="1">
      <c r="A75" s="58"/>
      <c r="B75" s="64" t="s">
        <v>228</v>
      </c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2"/>
      <c r="N75" s="42"/>
      <c r="O75" s="42"/>
    </row>
    <row r="76" spans="1:15" s="27" customFormat="1" ht="48" hidden="1" customHeight="1" outlineLevel="1">
      <c r="A76" s="58"/>
      <c r="B76" s="64" t="s">
        <v>302</v>
      </c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2"/>
      <c r="N76" s="42"/>
      <c r="O76" s="42"/>
    </row>
    <row r="77" spans="1:15" s="27" customFormat="1" ht="33.75" hidden="1" customHeight="1" outlineLevel="1">
      <c r="A77" s="58"/>
      <c r="B77" s="64" t="s">
        <v>229</v>
      </c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2"/>
      <c r="N77" s="42"/>
      <c r="O77" s="42"/>
    </row>
    <row r="78" spans="1:15" s="27" customFormat="1" ht="25.5" hidden="1" outlineLevel="1">
      <c r="A78" s="58"/>
      <c r="B78" s="64" t="s">
        <v>230</v>
      </c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2"/>
      <c r="N78" s="42"/>
      <c r="O78" s="42"/>
    </row>
    <row r="79" spans="1:15" s="27" customFormat="1" ht="25.5" hidden="1" outlineLevel="1">
      <c r="A79" s="58"/>
      <c r="B79" s="64" t="s">
        <v>231</v>
      </c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2"/>
      <c r="N79" s="42"/>
      <c r="O79" s="42"/>
    </row>
    <row r="80" spans="1:15" s="27" customFormat="1" ht="15.75" hidden="1" outlineLevel="1">
      <c r="A80" s="58"/>
      <c r="B80" s="64" t="s">
        <v>232</v>
      </c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2"/>
      <c r="N80" s="42"/>
      <c r="O80" s="42"/>
    </row>
    <row r="81" spans="1:15" s="27" customFormat="1" ht="25.5" hidden="1" outlineLevel="1">
      <c r="A81" s="58"/>
      <c r="B81" s="64" t="s">
        <v>233</v>
      </c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2"/>
      <c r="N81" s="42"/>
      <c r="O81" s="42"/>
    </row>
    <row r="82" spans="1:15" s="27" customFormat="1" ht="25.5" hidden="1" outlineLevel="1">
      <c r="A82" s="58"/>
      <c r="B82" s="64" t="s">
        <v>234</v>
      </c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2"/>
      <c r="N82" s="42"/>
      <c r="O82" s="42"/>
    </row>
    <row r="83" spans="1:15" s="27" customFormat="1" ht="15.75" hidden="1" outlineLevel="1">
      <c r="A83" s="58"/>
      <c r="B83" s="64" t="s">
        <v>235</v>
      </c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2"/>
      <c r="N83" s="42"/>
      <c r="O83" s="42"/>
    </row>
    <row r="84" spans="1:15" s="27" customFormat="1" ht="25.5" hidden="1" outlineLevel="1">
      <c r="A84" s="58"/>
      <c r="B84" s="64" t="s">
        <v>236</v>
      </c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2"/>
      <c r="N84" s="42"/>
      <c r="O84" s="42"/>
    </row>
    <row r="85" spans="1:15" s="27" customFormat="1" ht="15.75" hidden="1" outlineLevel="1">
      <c r="A85" s="58"/>
      <c r="B85" s="64" t="s">
        <v>237</v>
      </c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2"/>
      <c r="N85" s="42"/>
      <c r="O85" s="42"/>
    </row>
    <row r="86" spans="1:15" s="117" customFormat="1" ht="20.100000000000001" hidden="1" customHeight="1" outlineLevel="1">
      <c r="A86" s="112" t="s">
        <v>274</v>
      </c>
      <c r="B86" s="113" t="s">
        <v>221</v>
      </c>
      <c r="C86" s="115" t="e">
        <f>#REF!+#REF!+D86+M86+G86+J86</f>
        <v>#REF!</v>
      </c>
      <c r="D86" s="114"/>
      <c r="E86" s="114"/>
      <c r="F86" s="114"/>
      <c r="G86" s="114"/>
      <c r="H86" s="114"/>
      <c r="I86" s="114"/>
      <c r="J86" s="114">
        <f>K86+L86</f>
        <v>0</v>
      </c>
      <c r="K86" s="114">
        <f>340*0</f>
        <v>0</v>
      </c>
      <c r="L86" s="114"/>
      <c r="M86" s="116"/>
      <c r="N86" s="116"/>
      <c r="O86" s="116"/>
    </row>
    <row r="87" spans="1:15" s="117" customFormat="1" ht="30" hidden="1" customHeight="1" outlineLevel="1">
      <c r="A87" s="112" t="s">
        <v>273</v>
      </c>
      <c r="B87" s="113" t="s">
        <v>215</v>
      </c>
      <c r="C87" s="115" t="e">
        <f>#REF!+#REF!+D87+M87+G87+J87</f>
        <v>#REF!</v>
      </c>
      <c r="D87" s="114">
        <f>E87+F87</f>
        <v>0</v>
      </c>
      <c r="E87" s="114"/>
      <c r="F87" s="114"/>
      <c r="G87" s="114"/>
      <c r="H87" s="114"/>
      <c r="I87" s="114"/>
      <c r="J87" s="114">
        <f>K87+L87</f>
        <v>0</v>
      </c>
      <c r="K87" s="114">
        <f>140*0</f>
        <v>0</v>
      </c>
      <c r="L87" s="114"/>
      <c r="M87" s="116"/>
      <c r="N87" s="116"/>
      <c r="O87" s="116"/>
    </row>
    <row r="88" spans="1:15" s="26" customFormat="1" ht="20.100000000000001" customHeight="1" collapsed="1">
      <c r="A88" s="70" t="s">
        <v>269</v>
      </c>
      <c r="B88" s="71" t="s">
        <v>365</v>
      </c>
      <c r="C88" s="47">
        <f>D88+M88+G88+J88</f>
        <v>350</v>
      </c>
      <c r="D88" s="48">
        <f>E88+F88</f>
        <v>350</v>
      </c>
      <c r="E88" s="48">
        <v>350</v>
      </c>
      <c r="F88" s="48"/>
      <c r="G88" s="48"/>
      <c r="H88" s="48"/>
      <c r="I88" s="48"/>
      <c r="J88" s="48"/>
      <c r="K88" s="48"/>
      <c r="L88" s="48"/>
      <c r="M88" s="42"/>
      <c r="N88" s="42"/>
      <c r="O88" s="42"/>
    </row>
    <row r="89" spans="1:15" s="117" customFormat="1" ht="20.100000000000001" hidden="1" customHeight="1" outlineLevel="1">
      <c r="A89" s="122" t="s">
        <v>272</v>
      </c>
      <c r="B89" s="123" t="s">
        <v>408</v>
      </c>
      <c r="C89" s="115" t="e">
        <f>#REF!+#REF!+D89+M89+G89</f>
        <v>#REF!</v>
      </c>
      <c r="D89" s="114"/>
      <c r="E89" s="114"/>
      <c r="F89" s="114"/>
      <c r="G89" s="114">
        <f>H89</f>
        <v>0</v>
      </c>
      <c r="H89" s="114">
        <f>100*0</f>
        <v>0</v>
      </c>
      <c r="I89" s="114"/>
      <c r="J89" s="114"/>
      <c r="K89" s="114"/>
      <c r="L89" s="114"/>
      <c r="M89" s="116"/>
      <c r="N89" s="116"/>
      <c r="O89" s="116"/>
    </row>
    <row r="90" spans="1:15" s="117" customFormat="1" ht="20.100000000000001" hidden="1" customHeight="1" outlineLevel="1">
      <c r="A90" s="122" t="s">
        <v>271</v>
      </c>
      <c r="B90" s="123" t="s">
        <v>409</v>
      </c>
      <c r="C90" s="115" t="e">
        <f>#REF!+#REF!+D90+M90+G90</f>
        <v>#REF!</v>
      </c>
      <c r="D90" s="114"/>
      <c r="E90" s="114"/>
      <c r="F90" s="114"/>
      <c r="G90" s="114">
        <f>H90</f>
        <v>0</v>
      </c>
      <c r="H90" s="114">
        <f>80*0</f>
        <v>0</v>
      </c>
      <c r="I90" s="114"/>
      <c r="J90" s="114"/>
      <c r="K90" s="114"/>
      <c r="L90" s="114"/>
      <c r="M90" s="116"/>
      <c r="N90" s="116"/>
      <c r="O90" s="116"/>
    </row>
    <row r="91" spans="1:15" s="1" customFormat="1" ht="20.100000000000001" customHeight="1" collapsed="1">
      <c r="A91" s="127" t="s">
        <v>268</v>
      </c>
      <c r="B91" s="128" t="s">
        <v>366</v>
      </c>
      <c r="C91" s="129">
        <f>D91+M91+G91</f>
        <v>50</v>
      </c>
      <c r="D91" s="20">
        <f>E91+F91</f>
        <v>50</v>
      </c>
      <c r="E91" s="20">
        <f>50</f>
        <v>50</v>
      </c>
      <c r="F91" s="20"/>
      <c r="G91" s="20">
        <f>H91</f>
        <v>0</v>
      </c>
      <c r="H91" s="20"/>
      <c r="I91" s="20"/>
      <c r="J91" s="20"/>
      <c r="K91" s="20"/>
      <c r="L91" s="20"/>
      <c r="M91" s="130"/>
      <c r="N91" s="130"/>
      <c r="O91" s="130"/>
    </row>
    <row r="92" spans="1:15" s="26" customFormat="1" ht="25.5" hidden="1" outlineLevel="1">
      <c r="A92" s="70" t="s">
        <v>259</v>
      </c>
      <c r="B92" s="64" t="s">
        <v>130</v>
      </c>
      <c r="C92" s="47" t="e">
        <f>#REF!+#REF!+D92+M92+G92</f>
        <v>#REF!</v>
      </c>
      <c r="D92" s="48"/>
      <c r="E92" s="48"/>
      <c r="F92" s="48"/>
      <c r="G92" s="48"/>
      <c r="H92" s="48"/>
      <c r="I92" s="48"/>
      <c r="J92" s="48"/>
      <c r="K92" s="48"/>
      <c r="L92" s="48"/>
      <c r="M92" s="42">
        <f>N92</f>
        <v>0</v>
      </c>
      <c r="N92" s="42">
        <f>60*0</f>
        <v>0</v>
      </c>
      <c r="O92" s="42"/>
    </row>
    <row r="93" spans="1:15" s="26" customFormat="1" ht="33.75" hidden="1" customHeight="1" outlineLevel="1">
      <c r="A93" s="72" t="s">
        <v>258</v>
      </c>
      <c r="B93" s="67" t="s">
        <v>145</v>
      </c>
      <c r="C93" s="47" t="e">
        <f>#REF!+#REF!+D93+M93+G93</f>
        <v>#REF!</v>
      </c>
      <c r="D93" s="48">
        <f t="shared" ref="D93:D144" si="10">E93+F93</f>
        <v>0</v>
      </c>
      <c r="E93" s="48"/>
      <c r="F93" s="48"/>
      <c r="G93" s="48">
        <f t="shared" ref="G93:G144" si="11">H93+I93</f>
        <v>0</v>
      </c>
      <c r="H93" s="48"/>
      <c r="I93" s="48"/>
      <c r="J93" s="48"/>
      <c r="K93" s="48"/>
      <c r="L93" s="48"/>
      <c r="M93" s="42">
        <f>N93</f>
        <v>0</v>
      </c>
      <c r="N93" s="42">
        <f>2800*0</f>
        <v>0</v>
      </c>
      <c r="O93" s="42"/>
    </row>
    <row r="94" spans="1:15" s="117" customFormat="1" ht="20.100000000000001" hidden="1" customHeight="1" outlineLevel="1">
      <c r="A94" s="124" t="s">
        <v>270</v>
      </c>
      <c r="B94" s="121" t="s">
        <v>420</v>
      </c>
      <c r="C94" s="115" t="e">
        <f>#REF!+#REF!+D94+M94+G94</f>
        <v>#REF!</v>
      </c>
      <c r="D94" s="114">
        <f t="shared" si="10"/>
        <v>0</v>
      </c>
      <c r="E94" s="114">
        <f>50*0</f>
        <v>0</v>
      </c>
      <c r="F94" s="114"/>
      <c r="G94" s="114">
        <f t="shared" si="11"/>
        <v>0</v>
      </c>
      <c r="H94" s="114">
        <f>50*0</f>
        <v>0</v>
      </c>
      <c r="I94" s="114"/>
      <c r="J94" s="114"/>
      <c r="K94" s="114"/>
      <c r="L94" s="114"/>
      <c r="M94" s="116"/>
      <c r="N94" s="116"/>
      <c r="O94" s="116"/>
    </row>
    <row r="95" spans="1:15" s="117" customFormat="1" ht="20.100000000000001" hidden="1" customHeight="1" outlineLevel="1">
      <c r="A95" s="124" t="s">
        <v>269</v>
      </c>
      <c r="B95" s="121" t="s">
        <v>423</v>
      </c>
      <c r="C95" s="115" t="e">
        <f>#REF!+#REF!+D95+M95+G95</f>
        <v>#REF!</v>
      </c>
      <c r="D95" s="114">
        <f t="shared" si="10"/>
        <v>0</v>
      </c>
      <c r="E95" s="114"/>
      <c r="F95" s="114"/>
      <c r="G95" s="114">
        <f t="shared" si="11"/>
        <v>0</v>
      </c>
      <c r="H95" s="114">
        <f>250*0</f>
        <v>0</v>
      </c>
      <c r="I95" s="114"/>
      <c r="J95" s="114"/>
      <c r="K95" s="114"/>
      <c r="L95" s="114"/>
      <c r="M95" s="116"/>
      <c r="N95" s="116"/>
      <c r="O95" s="116"/>
    </row>
    <row r="96" spans="1:15" s="26" customFormat="1" ht="32.25" hidden="1" customHeight="1" outlineLevel="1">
      <c r="A96" s="72" t="s">
        <v>257</v>
      </c>
      <c r="B96" s="67" t="s">
        <v>467</v>
      </c>
      <c r="C96" s="47" t="e">
        <f>#REF!+#REF!+D96+M96+G96+J96</f>
        <v>#REF!</v>
      </c>
      <c r="D96" s="48">
        <f t="shared" si="10"/>
        <v>0</v>
      </c>
      <c r="E96" s="48"/>
      <c r="F96" s="48"/>
      <c r="G96" s="48">
        <f t="shared" si="11"/>
        <v>0</v>
      </c>
      <c r="H96" s="48"/>
      <c r="I96" s="48"/>
      <c r="J96" s="48">
        <f>K96+L96</f>
        <v>0</v>
      </c>
      <c r="K96" s="48">
        <f>400*0</f>
        <v>0</v>
      </c>
      <c r="L96" s="48"/>
      <c r="M96" s="42">
        <f>N96</f>
        <v>0</v>
      </c>
      <c r="N96" s="42"/>
      <c r="O96" s="42"/>
    </row>
    <row r="97" spans="1:15" s="26" customFormat="1" ht="25.5" hidden="1" outlineLevel="1">
      <c r="A97" s="72" t="s">
        <v>256</v>
      </c>
      <c r="B97" s="67" t="s">
        <v>468</v>
      </c>
      <c r="C97" s="47" t="e">
        <f>#REF!+#REF!+D97+M97+G97</f>
        <v>#REF!</v>
      </c>
      <c r="D97" s="48">
        <f t="shared" si="10"/>
        <v>0</v>
      </c>
      <c r="E97" s="48"/>
      <c r="F97" s="48"/>
      <c r="G97" s="48">
        <f t="shared" si="11"/>
        <v>0</v>
      </c>
      <c r="H97" s="48"/>
      <c r="I97" s="48"/>
      <c r="J97" s="48"/>
      <c r="K97" s="48"/>
      <c r="L97" s="48"/>
      <c r="M97" s="42">
        <f>N97</f>
        <v>0</v>
      </c>
      <c r="N97" s="42">
        <f>250*0</f>
        <v>0</v>
      </c>
      <c r="O97" s="42"/>
    </row>
    <row r="98" spans="1:15" s="26" customFormat="1" ht="15.75" hidden="1" outlineLevel="1">
      <c r="A98" s="72" t="s">
        <v>255</v>
      </c>
      <c r="B98" s="67" t="s">
        <v>475</v>
      </c>
      <c r="C98" s="47" t="e">
        <f>#REF!+#REF!+D98+M98+G98</f>
        <v>#REF!</v>
      </c>
      <c r="D98" s="48">
        <f t="shared" si="10"/>
        <v>0</v>
      </c>
      <c r="E98" s="48"/>
      <c r="F98" s="48"/>
      <c r="G98" s="48">
        <f t="shared" si="11"/>
        <v>0</v>
      </c>
      <c r="H98" s="48"/>
      <c r="I98" s="48"/>
      <c r="J98" s="48"/>
      <c r="K98" s="48"/>
      <c r="L98" s="48"/>
      <c r="M98" s="48">
        <f>N98+O98</f>
        <v>0</v>
      </c>
      <c r="N98" s="42">
        <f>80*0</f>
        <v>0</v>
      </c>
      <c r="O98" s="42"/>
    </row>
    <row r="99" spans="1:15" s="26" customFormat="1" ht="31.5" hidden="1" customHeight="1" outlineLevel="1">
      <c r="A99" s="72" t="s">
        <v>254</v>
      </c>
      <c r="B99" s="67" t="s">
        <v>0</v>
      </c>
      <c r="C99" s="47" t="e">
        <f>#REF!+#REF!+D99+M99+G99</f>
        <v>#REF!</v>
      </c>
      <c r="D99" s="48">
        <f t="shared" si="10"/>
        <v>0</v>
      </c>
      <c r="E99" s="48"/>
      <c r="F99" s="48"/>
      <c r="G99" s="48">
        <f t="shared" si="11"/>
        <v>0</v>
      </c>
      <c r="H99" s="48"/>
      <c r="I99" s="48"/>
      <c r="J99" s="48"/>
      <c r="K99" s="48"/>
      <c r="L99" s="48"/>
      <c r="M99" s="42">
        <f>N99</f>
        <v>0</v>
      </c>
      <c r="N99" s="42">
        <f>100*0</f>
        <v>0</v>
      </c>
      <c r="O99" s="42"/>
    </row>
    <row r="100" spans="1:15" s="26" customFormat="1" ht="33" hidden="1" customHeight="1" outlineLevel="1">
      <c r="A100" s="72" t="s">
        <v>253</v>
      </c>
      <c r="B100" s="67" t="s">
        <v>247</v>
      </c>
      <c r="C100" s="47" t="e">
        <f>#REF!+#REF!+D100+M100+G100</f>
        <v>#REF!</v>
      </c>
      <c r="D100" s="48">
        <f t="shared" si="10"/>
        <v>0</v>
      </c>
      <c r="E100" s="48"/>
      <c r="F100" s="48"/>
      <c r="G100" s="48">
        <f t="shared" si="11"/>
        <v>0</v>
      </c>
      <c r="H100" s="48"/>
      <c r="I100" s="48"/>
      <c r="J100" s="48"/>
      <c r="K100" s="48"/>
      <c r="L100" s="48"/>
      <c r="M100" s="42">
        <f>N100+O100</f>
        <v>0</v>
      </c>
      <c r="N100" s="42">
        <f>700*0</f>
        <v>0</v>
      </c>
      <c r="O100" s="42"/>
    </row>
    <row r="101" spans="1:15" s="26" customFormat="1" ht="29.25" hidden="1" customHeight="1" outlineLevel="1">
      <c r="A101" s="72" t="s">
        <v>252</v>
      </c>
      <c r="B101" s="67" t="s">
        <v>1</v>
      </c>
      <c r="C101" s="47" t="e">
        <f>#REF!+#REF!+D101+M101+G101</f>
        <v>#REF!</v>
      </c>
      <c r="D101" s="48">
        <f t="shared" si="10"/>
        <v>0</v>
      </c>
      <c r="E101" s="48"/>
      <c r="F101" s="48"/>
      <c r="G101" s="48">
        <f t="shared" si="11"/>
        <v>0</v>
      </c>
      <c r="H101" s="48"/>
      <c r="I101" s="48"/>
      <c r="J101" s="48"/>
      <c r="K101" s="48"/>
      <c r="L101" s="48"/>
      <c r="M101" s="42">
        <f t="shared" ref="M101:M108" si="12">N101</f>
        <v>0</v>
      </c>
      <c r="N101" s="42">
        <f>100*0</f>
        <v>0</v>
      </c>
      <c r="O101" s="42"/>
    </row>
    <row r="102" spans="1:15" s="26" customFormat="1" ht="15.75" hidden="1" outlineLevel="1">
      <c r="A102" s="72" t="s">
        <v>251</v>
      </c>
      <c r="B102" s="67" t="s">
        <v>2</v>
      </c>
      <c r="C102" s="47" t="e">
        <f>#REF!+#REF!+D102+M102+G102</f>
        <v>#REF!</v>
      </c>
      <c r="D102" s="48">
        <f t="shared" si="10"/>
        <v>0</v>
      </c>
      <c r="E102" s="48"/>
      <c r="F102" s="48"/>
      <c r="G102" s="48">
        <f t="shared" si="11"/>
        <v>0</v>
      </c>
      <c r="H102" s="48"/>
      <c r="I102" s="48"/>
      <c r="J102" s="48"/>
      <c r="K102" s="48"/>
      <c r="L102" s="48"/>
      <c r="M102" s="42">
        <f t="shared" si="12"/>
        <v>0</v>
      </c>
      <c r="N102" s="42">
        <f>90*0</f>
        <v>0</v>
      </c>
      <c r="O102" s="42"/>
    </row>
    <row r="103" spans="1:15" s="26" customFormat="1" ht="22.5" hidden="1" customHeight="1" outlineLevel="1">
      <c r="A103" s="72" t="s">
        <v>250</v>
      </c>
      <c r="B103" s="67" t="s">
        <v>3</v>
      </c>
      <c r="C103" s="47" t="e">
        <f>#REF!+#REF!+D103+M103+G103</f>
        <v>#REF!</v>
      </c>
      <c r="D103" s="48">
        <f t="shared" si="10"/>
        <v>0</v>
      </c>
      <c r="E103" s="48"/>
      <c r="F103" s="48"/>
      <c r="G103" s="48">
        <f t="shared" si="11"/>
        <v>0</v>
      </c>
      <c r="H103" s="48"/>
      <c r="I103" s="48"/>
      <c r="J103" s="48"/>
      <c r="K103" s="48"/>
      <c r="L103" s="48"/>
      <c r="M103" s="42">
        <f t="shared" si="12"/>
        <v>0</v>
      </c>
      <c r="N103" s="42">
        <f>20*0</f>
        <v>0</v>
      </c>
      <c r="O103" s="42"/>
    </row>
    <row r="104" spans="1:15" s="26" customFormat="1" ht="20.25" hidden="1" customHeight="1" outlineLevel="1">
      <c r="A104" s="72" t="s">
        <v>249</v>
      </c>
      <c r="B104" s="67" t="s">
        <v>4</v>
      </c>
      <c r="C104" s="47" t="e">
        <f>#REF!+#REF!+D104+M104+G104</f>
        <v>#REF!</v>
      </c>
      <c r="D104" s="48">
        <f t="shared" si="10"/>
        <v>0</v>
      </c>
      <c r="E104" s="48"/>
      <c r="F104" s="48"/>
      <c r="G104" s="48">
        <f t="shared" si="11"/>
        <v>0</v>
      </c>
      <c r="H104" s="48"/>
      <c r="I104" s="48"/>
      <c r="J104" s="48"/>
      <c r="K104" s="48"/>
      <c r="L104" s="48"/>
      <c r="M104" s="42">
        <f t="shared" si="12"/>
        <v>0</v>
      </c>
      <c r="N104" s="42">
        <f>170*0</f>
        <v>0</v>
      </c>
      <c r="O104" s="42"/>
    </row>
    <row r="105" spans="1:15" s="26" customFormat="1" ht="15.75" hidden="1" outlineLevel="1">
      <c r="A105" s="72" t="s">
        <v>248</v>
      </c>
      <c r="B105" s="67" t="s">
        <v>5</v>
      </c>
      <c r="C105" s="47" t="e">
        <f>#REF!+#REF!+D105+M105+G105</f>
        <v>#REF!</v>
      </c>
      <c r="D105" s="48">
        <f t="shared" si="10"/>
        <v>0</v>
      </c>
      <c r="E105" s="48"/>
      <c r="F105" s="48"/>
      <c r="G105" s="48">
        <f t="shared" si="11"/>
        <v>0</v>
      </c>
      <c r="H105" s="48"/>
      <c r="I105" s="48"/>
      <c r="J105" s="48"/>
      <c r="K105" s="48"/>
      <c r="L105" s="48"/>
      <c r="M105" s="42">
        <f t="shared" si="12"/>
        <v>0</v>
      </c>
      <c r="N105" s="42">
        <f>40*0</f>
        <v>0</v>
      </c>
      <c r="O105" s="42"/>
    </row>
    <row r="106" spans="1:15" s="26" customFormat="1" ht="15.75" hidden="1" outlineLevel="1">
      <c r="A106" s="72" t="s">
        <v>244</v>
      </c>
      <c r="B106" s="67" t="s">
        <v>144</v>
      </c>
      <c r="C106" s="47" t="e">
        <f>#REF!+#REF!+D106+M106+G106</f>
        <v>#REF!</v>
      </c>
      <c r="D106" s="48">
        <f t="shared" si="10"/>
        <v>0</v>
      </c>
      <c r="E106" s="48"/>
      <c r="F106" s="48"/>
      <c r="G106" s="48">
        <f t="shared" si="11"/>
        <v>0</v>
      </c>
      <c r="H106" s="48"/>
      <c r="I106" s="48"/>
      <c r="J106" s="48"/>
      <c r="K106" s="48"/>
      <c r="L106" s="48"/>
      <c r="M106" s="42">
        <f t="shared" si="12"/>
        <v>0</v>
      </c>
      <c r="N106" s="42">
        <f>40*0</f>
        <v>0</v>
      </c>
      <c r="O106" s="42"/>
    </row>
    <row r="107" spans="1:15" s="26" customFormat="1" ht="30.75" hidden="1" customHeight="1" outlineLevel="1">
      <c r="A107" s="72" t="s">
        <v>243</v>
      </c>
      <c r="B107" s="67" t="s">
        <v>6</v>
      </c>
      <c r="C107" s="47" t="e">
        <f>#REF!+#REF!+D107+M107+G107</f>
        <v>#REF!</v>
      </c>
      <c r="D107" s="48">
        <f t="shared" si="10"/>
        <v>0</v>
      </c>
      <c r="E107" s="48"/>
      <c r="F107" s="48"/>
      <c r="G107" s="48">
        <f t="shared" si="11"/>
        <v>0</v>
      </c>
      <c r="H107" s="48"/>
      <c r="I107" s="48"/>
      <c r="J107" s="48"/>
      <c r="K107" s="48"/>
      <c r="L107" s="48"/>
      <c r="M107" s="42">
        <f t="shared" si="12"/>
        <v>0</v>
      </c>
      <c r="N107" s="42">
        <f>50*0</f>
        <v>0</v>
      </c>
      <c r="O107" s="42"/>
    </row>
    <row r="108" spans="1:15" s="26" customFormat="1" ht="31.5" hidden="1" customHeight="1" outlineLevel="1">
      <c r="A108" s="72" t="s">
        <v>222</v>
      </c>
      <c r="B108" s="67" t="s">
        <v>118</v>
      </c>
      <c r="C108" s="47" t="e">
        <f>#REF!+#REF!+D108+M108+G108</f>
        <v>#REF!</v>
      </c>
      <c r="D108" s="48">
        <f t="shared" si="10"/>
        <v>0</v>
      </c>
      <c r="E108" s="48"/>
      <c r="F108" s="48"/>
      <c r="G108" s="48">
        <f t="shared" si="11"/>
        <v>0</v>
      </c>
      <c r="H108" s="48"/>
      <c r="I108" s="48"/>
      <c r="J108" s="48"/>
      <c r="K108" s="48"/>
      <c r="L108" s="48"/>
      <c r="M108" s="42">
        <f t="shared" si="12"/>
        <v>0</v>
      </c>
      <c r="N108" s="48">
        <f>290*0</f>
        <v>0</v>
      </c>
      <c r="O108" s="42"/>
    </row>
    <row r="109" spans="1:15" s="26" customFormat="1" ht="15.75" hidden="1" outlineLevel="1">
      <c r="A109" s="72" t="s">
        <v>274</v>
      </c>
      <c r="B109" s="67" t="s">
        <v>134</v>
      </c>
      <c r="C109" s="47" t="e">
        <f>#REF!+#REF!+D109+M109+G109</f>
        <v>#REF!</v>
      </c>
      <c r="D109" s="48">
        <f t="shared" si="10"/>
        <v>0</v>
      </c>
      <c r="E109" s="48"/>
      <c r="F109" s="48"/>
      <c r="G109" s="48">
        <f t="shared" si="11"/>
        <v>0</v>
      </c>
      <c r="H109" s="48"/>
      <c r="I109" s="48"/>
      <c r="J109" s="48"/>
      <c r="K109" s="48"/>
      <c r="L109" s="48"/>
      <c r="M109" s="42">
        <f t="shared" ref="M109:M114" si="13">N109+O109</f>
        <v>0</v>
      </c>
      <c r="N109" s="48">
        <f>60*0</f>
        <v>0</v>
      </c>
      <c r="O109" s="42"/>
    </row>
    <row r="110" spans="1:15" s="26" customFormat="1" ht="20.100000000000001" customHeight="1" collapsed="1">
      <c r="A110" s="72" t="s">
        <v>267</v>
      </c>
      <c r="B110" s="67" t="s">
        <v>367</v>
      </c>
      <c r="C110" s="47">
        <f>D110+M110+G110</f>
        <v>80</v>
      </c>
      <c r="D110" s="48">
        <f t="shared" si="10"/>
        <v>80</v>
      </c>
      <c r="E110" s="48">
        <v>80</v>
      </c>
      <c r="F110" s="48"/>
      <c r="G110" s="48">
        <f t="shared" si="11"/>
        <v>0</v>
      </c>
      <c r="H110" s="48"/>
      <c r="I110" s="48"/>
      <c r="J110" s="48"/>
      <c r="K110" s="48"/>
      <c r="L110" s="48"/>
      <c r="M110" s="42">
        <f t="shared" si="13"/>
        <v>0</v>
      </c>
      <c r="N110" s="48"/>
      <c r="O110" s="42"/>
    </row>
    <row r="111" spans="1:15" s="26" customFormat="1" ht="15.75" hidden="1" outlineLevel="1">
      <c r="A111" s="72"/>
      <c r="B111" s="67" t="s">
        <v>135</v>
      </c>
      <c r="C111" s="47" t="e">
        <f>#REF!+#REF!+D111+M111+G111</f>
        <v>#REF!</v>
      </c>
      <c r="D111" s="48">
        <f t="shared" si="10"/>
        <v>0</v>
      </c>
      <c r="E111" s="48"/>
      <c r="F111" s="48"/>
      <c r="G111" s="48">
        <f t="shared" si="11"/>
        <v>0</v>
      </c>
      <c r="H111" s="48"/>
      <c r="I111" s="48"/>
      <c r="J111" s="48"/>
      <c r="K111" s="48"/>
      <c r="L111" s="48"/>
      <c r="M111" s="42">
        <f t="shared" si="13"/>
        <v>0</v>
      </c>
      <c r="N111" s="48">
        <f>40*0</f>
        <v>0</v>
      </c>
      <c r="O111" s="42"/>
    </row>
    <row r="112" spans="1:15" s="26" customFormat="1" ht="29.25" hidden="1" customHeight="1" outlineLevel="1">
      <c r="A112" s="72"/>
      <c r="B112" s="67" t="s">
        <v>60</v>
      </c>
      <c r="C112" s="47" t="e">
        <f>#REF!+#REF!+D112+M112+G112</f>
        <v>#REF!</v>
      </c>
      <c r="D112" s="48">
        <f t="shared" si="10"/>
        <v>0</v>
      </c>
      <c r="E112" s="48"/>
      <c r="F112" s="48"/>
      <c r="G112" s="48">
        <f t="shared" si="11"/>
        <v>0</v>
      </c>
      <c r="H112" s="48"/>
      <c r="I112" s="48"/>
      <c r="J112" s="48"/>
      <c r="K112" s="48"/>
      <c r="L112" s="48"/>
      <c r="M112" s="42">
        <f t="shared" si="13"/>
        <v>0</v>
      </c>
      <c r="N112" s="48">
        <f>110*0</f>
        <v>0</v>
      </c>
      <c r="O112" s="42"/>
    </row>
    <row r="113" spans="1:15" s="26" customFormat="1" ht="25.5" hidden="1" outlineLevel="1">
      <c r="A113" s="72"/>
      <c r="B113" s="67" t="s">
        <v>136</v>
      </c>
      <c r="C113" s="47" t="e">
        <f>#REF!+#REF!+D113+M113+G113</f>
        <v>#REF!</v>
      </c>
      <c r="D113" s="48">
        <f t="shared" si="10"/>
        <v>0</v>
      </c>
      <c r="E113" s="48"/>
      <c r="F113" s="48"/>
      <c r="G113" s="48">
        <f t="shared" si="11"/>
        <v>0</v>
      </c>
      <c r="H113" s="48"/>
      <c r="I113" s="48"/>
      <c r="J113" s="48"/>
      <c r="K113" s="48"/>
      <c r="L113" s="48"/>
      <c r="M113" s="42">
        <f t="shared" si="13"/>
        <v>0</v>
      </c>
      <c r="N113" s="48">
        <f>240*0</f>
        <v>0</v>
      </c>
      <c r="O113" s="42"/>
    </row>
    <row r="114" spans="1:15" s="26" customFormat="1" ht="30" hidden="1" customHeight="1" outlineLevel="1">
      <c r="A114" s="72"/>
      <c r="B114" s="67" t="s">
        <v>137</v>
      </c>
      <c r="C114" s="47" t="e">
        <f>#REF!+#REF!+D114+M114+G114</f>
        <v>#REF!</v>
      </c>
      <c r="D114" s="48">
        <f t="shared" si="10"/>
        <v>0</v>
      </c>
      <c r="E114" s="48"/>
      <c r="F114" s="48"/>
      <c r="G114" s="48">
        <f t="shared" si="11"/>
        <v>0</v>
      </c>
      <c r="H114" s="48"/>
      <c r="I114" s="48"/>
      <c r="J114" s="48"/>
      <c r="K114" s="48"/>
      <c r="L114" s="48"/>
      <c r="M114" s="42">
        <f t="shared" si="13"/>
        <v>0</v>
      </c>
      <c r="N114" s="48">
        <f>240*0</f>
        <v>0</v>
      </c>
      <c r="O114" s="42"/>
    </row>
    <row r="115" spans="1:15" s="1" customFormat="1" ht="20.100000000000001" customHeight="1" collapsed="1">
      <c r="A115" s="131" t="s">
        <v>266</v>
      </c>
      <c r="B115" s="132" t="s">
        <v>422</v>
      </c>
      <c r="C115" s="129">
        <f t="shared" ref="C115:C121" si="14">D115+M115+G115</f>
        <v>100</v>
      </c>
      <c r="D115" s="20">
        <f>E115+F115</f>
        <v>100</v>
      </c>
      <c r="E115" s="20">
        <f>100</f>
        <v>100</v>
      </c>
      <c r="F115" s="20"/>
      <c r="G115" s="20">
        <f>H115+I115</f>
        <v>0</v>
      </c>
      <c r="H115" s="20"/>
      <c r="I115" s="20"/>
      <c r="J115" s="20"/>
      <c r="K115" s="20"/>
      <c r="L115" s="20"/>
      <c r="M115" s="130"/>
      <c r="N115" s="130"/>
      <c r="O115" s="130"/>
    </row>
    <row r="116" spans="1:15" s="1" customFormat="1" ht="20.100000000000001" customHeight="1">
      <c r="A116" s="72" t="s">
        <v>265</v>
      </c>
      <c r="B116" s="67" t="s">
        <v>369</v>
      </c>
      <c r="C116" s="47">
        <f t="shared" si="14"/>
        <v>700</v>
      </c>
      <c r="D116" s="48">
        <f>E116+F116</f>
        <v>700</v>
      </c>
      <c r="E116" s="48">
        <v>700</v>
      </c>
      <c r="F116" s="48"/>
      <c r="G116" s="48">
        <f>H116+I116</f>
        <v>0</v>
      </c>
      <c r="H116" s="48"/>
      <c r="I116" s="48"/>
      <c r="J116" s="48"/>
      <c r="K116" s="48"/>
      <c r="L116" s="48"/>
      <c r="M116" s="42"/>
      <c r="N116" s="42"/>
      <c r="O116" s="42"/>
    </row>
    <row r="117" spans="1:15" s="1" customFormat="1" ht="20.100000000000001" customHeight="1">
      <c r="A117" s="72" t="s">
        <v>264</v>
      </c>
      <c r="B117" s="67" t="s">
        <v>410</v>
      </c>
      <c r="C117" s="47">
        <f t="shared" si="14"/>
        <v>450</v>
      </c>
      <c r="D117" s="48">
        <f>E117</f>
        <v>450</v>
      </c>
      <c r="E117" s="48">
        <f>550-100</f>
        <v>450</v>
      </c>
      <c r="F117" s="48"/>
      <c r="G117" s="48"/>
      <c r="H117" s="48"/>
      <c r="I117" s="48"/>
      <c r="J117" s="48"/>
      <c r="K117" s="48"/>
      <c r="L117" s="48"/>
      <c r="M117" s="42"/>
      <c r="N117" s="42"/>
      <c r="O117" s="42"/>
    </row>
    <row r="118" spans="1:15" s="1" customFormat="1" ht="20.100000000000001" customHeight="1">
      <c r="A118" s="72" t="s">
        <v>263</v>
      </c>
      <c r="B118" s="67" t="s">
        <v>138</v>
      </c>
      <c r="C118" s="47">
        <f t="shared" si="14"/>
        <v>0</v>
      </c>
      <c r="D118" s="48">
        <f t="shared" si="10"/>
        <v>0</v>
      </c>
      <c r="E118" s="48"/>
      <c r="F118" s="48"/>
      <c r="G118" s="48">
        <f t="shared" si="11"/>
        <v>0</v>
      </c>
      <c r="H118" s="48"/>
      <c r="I118" s="48"/>
      <c r="J118" s="48"/>
      <c r="K118" s="48"/>
      <c r="L118" s="48"/>
      <c r="M118" s="42"/>
      <c r="N118" s="42"/>
      <c r="O118" s="42"/>
    </row>
    <row r="119" spans="1:15" s="1" customFormat="1" ht="20.100000000000001" customHeight="1">
      <c r="A119" s="72" t="s">
        <v>262</v>
      </c>
      <c r="B119" s="67" t="s">
        <v>421</v>
      </c>
      <c r="C119" s="47">
        <f t="shared" si="14"/>
        <v>70</v>
      </c>
      <c r="D119" s="48">
        <f t="shared" si="10"/>
        <v>70</v>
      </c>
      <c r="E119" s="48">
        <v>70</v>
      </c>
      <c r="F119" s="48"/>
      <c r="G119" s="48">
        <f t="shared" si="11"/>
        <v>0</v>
      </c>
      <c r="H119" s="48"/>
      <c r="I119" s="48"/>
      <c r="J119" s="48"/>
      <c r="K119" s="48"/>
      <c r="L119" s="48"/>
      <c r="M119" s="42"/>
      <c r="N119" s="42"/>
      <c r="O119" s="42"/>
    </row>
    <row r="120" spans="1:15" s="1" customFormat="1" ht="20.100000000000001" customHeight="1">
      <c r="A120" s="72" t="s">
        <v>246</v>
      </c>
      <c r="B120" s="67" t="s">
        <v>213</v>
      </c>
      <c r="C120" s="47">
        <f t="shared" si="14"/>
        <v>200</v>
      </c>
      <c r="D120" s="48">
        <f t="shared" si="10"/>
        <v>200</v>
      </c>
      <c r="E120" s="48">
        <v>200</v>
      </c>
      <c r="F120" s="48"/>
      <c r="G120" s="48">
        <f t="shared" si="11"/>
        <v>0</v>
      </c>
      <c r="H120" s="48"/>
      <c r="I120" s="48"/>
      <c r="J120" s="48"/>
      <c r="K120" s="48"/>
      <c r="L120" s="48"/>
      <c r="M120" s="42"/>
      <c r="N120" s="42"/>
      <c r="O120" s="42"/>
    </row>
    <row r="121" spans="1:15" s="26" customFormat="1" ht="20.100000000000001" customHeight="1">
      <c r="A121" s="72" t="s">
        <v>214</v>
      </c>
      <c r="B121" s="67" t="s">
        <v>139</v>
      </c>
      <c r="C121" s="47">
        <f t="shared" si="14"/>
        <v>0</v>
      </c>
      <c r="D121" s="48">
        <f t="shared" si="10"/>
        <v>0</v>
      </c>
      <c r="E121" s="48"/>
      <c r="F121" s="48"/>
      <c r="G121" s="48">
        <f t="shared" si="11"/>
        <v>0</v>
      </c>
      <c r="H121" s="48"/>
      <c r="I121" s="48"/>
      <c r="J121" s="48"/>
      <c r="K121" s="48"/>
      <c r="L121" s="48"/>
      <c r="M121" s="42"/>
      <c r="N121" s="42"/>
      <c r="O121" s="42"/>
    </row>
    <row r="122" spans="1:15" s="27" customFormat="1" ht="46.5" hidden="1" customHeight="1" outlineLevel="1">
      <c r="A122" s="72"/>
      <c r="B122" s="67" t="s">
        <v>120</v>
      </c>
      <c r="C122" s="47" t="e">
        <f>#REF!+#REF!+D122+M122+G122</f>
        <v>#REF!</v>
      </c>
      <c r="D122" s="48"/>
      <c r="E122" s="48"/>
      <c r="F122" s="48"/>
      <c r="G122" s="48">
        <f t="shared" si="11"/>
        <v>0</v>
      </c>
      <c r="H122" s="48"/>
      <c r="I122" s="48"/>
      <c r="J122" s="48"/>
      <c r="K122" s="48"/>
      <c r="L122" s="48"/>
      <c r="M122" s="42"/>
      <c r="N122" s="42"/>
      <c r="O122" s="42"/>
    </row>
    <row r="123" spans="1:15" s="117" customFormat="1" ht="20.100000000000001" hidden="1" customHeight="1" collapsed="1">
      <c r="A123" s="124"/>
      <c r="B123" s="121" t="s">
        <v>61</v>
      </c>
      <c r="C123" s="115" t="e">
        <f>#REF!+#REF!+D123+M123+G123</f>
        <v>#REF!</v>
      </c>
      <c r="D123" s="114">
        <f t="shared" si="10"/>
        <v>0</v>
      </c>
      <c r="E123" s="114">
        <f>250*0</f>
        <v>0</v>
      </c>
      <c r="F123" s="114"/>
      <c r="G123" s="114">
        <f t="shared" si="11"/>
        <v>0</v>
      </c>
      <c r="H123" s="114"/>
      <c r="I123" s="114"/>
      <c r="J123" s="114"/>
      <c r="K123" s="114"/>
      <c r="L123" s="114"/>
      <c r="M123" s="116"/>
      <c r="N123" s="116"/>
      <c r="O123" s="116"/>
    </row>
    <row r="124" spans="1:15" s="1" customFormat="1" ht="21.75" customHeight="1">
      <c r="A124" s="72" t="s">
        <v>209</v>
      </c>
      <c r="B124" s="67" t="s">
        <v>133</v>
      </c>
      <c r="C124" s="47">
        <f>D124+M124+G124</f>
        <v>170</v>
      </c>
      <c r="D124" s="48">
        <f t="shared" si="10"/>
        <v>170</v>
      </c>
      <c r="E124" s="48">
        <v>170</v>
      </c>
      <c r="F124" s="48"/>
      <c r="G124" s="48">
        <f t="shared" si="11"/>
        <v>0</v>
      </c>
      <c r="H124" s="48"/>
      <c r="I124" s="48"/>
      <c r="J124" s="48"/>
      <c r="K124" s="48"/>
      <c r="L124" s="48"/>
      <c r="M124" s="42"/>
      <c r="N124" s="42"/>
      <c r="O124" s="42"/>
    </row>
    <row r="125" spans="1:15" s="104" customFormat="1" ht="20.100000000000001" hidden="1" customHeight="1" outlineLevel="1">
      <c r="A125" s="99"/>
      <c r="B125" s="100" t="s">
        <v>62</v>
      </c>
      <c r="C125" s="102" t="e">
        <f>#REF!+#REF!+D125+M125+G125</f>
        <v>#REF!</v>
      </c>
      <c r="D125" s="101">
        <f t="shared" si="10"/>
        <v>0</v>
      </c>
      <c r="E125" s="101"/>
      <c r="F125" s="101"/>
      <c r="G125" s="101">
        <f t="shared" si="11"/>
        <v>0</v>
      </c>
      <c r="H125" s="101"/>
      <c r="I125" s="101"/>
      <c r="J125" s="101"/>
      <c r="K125" s="101"/>
      <c r="L125" s="101"/>
      <c r="M125" s="103">
        <f t="shared" ref="M125:M146" si="15">N125+O125</f>
        <v>0</v>
      </c>
      <c r="N125" s="101">
        <f>70*0</f>
        <v>0</v>
      </c>
      <c r="O125" s="103"/>
    </row>
    <row r="126" spans="1:15" s="104" customFormat="1" ht="20.100000000000001" hidden="1" customHeight="1" outlineLevel="1">
      <c r="A126" s="99"/>
      <c r="B126" s="100" t="s">
        <v>63</v>
      </c>
      <c r="C126" s="102" t="e">
        <f>#REF!+#REF!+D126+M126+G126</f>
        <v>#REF!</v>
      </c>
      <c r="D126" s="101">
        <f t="shared" si="10"/>
        <v>0</v>
      </c>
      <c r="E126" s="101"/>
      <c r="F126" s="101"/>
      <c r="G126" s="101">
        <f t="shared" si="11"/>
        <v>0</v>
      </c>
      <c r="H126" s="101"/>
      <c r="I126" s="101"/>
      <c r="J126" s="101"/>
      <c r="K126" s="101"/>
      <c r="L126" s="101"/>
      <c r="M126" s="103">
        <f t="shared" si="15"/>
        <v>0</v>
      </c>
      <c r="N126" s="101">
        <f>70*0</f>
        <v>0</v>
      </c>
      <c r="O126" s="103"/>
    </row>
    <row r="127" spans="1:15" s="104" customFormat="1" ht="20.100000000000001" hidden="1" customHeight="1" outlineLevel="1">
      <c r="A127" s="99"/>
      <c r="B127" s="100" t="s">
        <v>64</v>
      </c>
      <c r="C127" s="102" t="e">
        <f>#REF!+#REF!+D127+M127+G127</f>
        <v>#REF!</v>
      </c>
      <c r="D127" s="101">
        <f t="shared" si="10"/>
        <v>0</v>
      </c>
      <c r="E127" s="101"/>
      <c r="F127" s="101"/>
      <c r="G127" s="101">
        <f t="shared" si="11"/>
        <v>0</v>
      </c>
      <c r="H127" s="101"/>
      <c r="I127" s="101"/>
      <c r="J127" s="101"/>
      <c r="K127" s="101"/>
      <c r="L127" s="101"/>
      <c r="M127" s="103">
        <f t="shared" si="15"/>
        <v>0</v>
      </c>
      <c r="N127" s="101">
        <f>70*0</f>
        <v>0</v>
      </c>
      <c r="O127" s="103"/>
    </row>
    <row r="128" spans="1:15" s="1" customFormat="1" ht="20.100000000000001" customHeight="1" collapsed="1">
      <c r="A128" s="72" t="s">
        <v>161</v>
      </c>
      <c r="B128" s="67" t="s">
        <v>332</v>
      </c>
      <c r="C128" s="47">
        <f>D128+M128+G128</f>
        <v>70</v>
      </c>
      <c r="D128" s="48">
        <f>E128+F128</f>
        <v>70</v>
      </c>
      <c r="E128" s="48">
        <v>70</v>
      </c>
      <c r="F128" s="48"/>
      <c r="G128" s="48"/>
      <c r="H128" s="48"/>
      <c r="I128" s="48"/>
      <c r="J128" s="48"/>
      <c r="K128" s="48"/>
      <c r="L128" s="48"/>
      <c r="M128" s="42"/>
      <c r="N128" s="48"/>
      <c r="O128" s="42"/>
    </row>
    <row r="129" spans="1:15" s="1" customFormat="1" ht="20.100000000000001" customHeight="1">
      <c r="A129" s="72" t="s">
        <v>160</v>
      </c>
      <c r="B129" s="67" t="s">
        <v>432</v>
      </c>
      <c r="C129" s="47">
        <f>D129+M129+G129</f>
        <v>100</v>
      </c>
      <c r="D129" s="48">
        <f t="shared" si="10"/>
        <v>100</v>
      </c>
      <c r="E129" s="48">
        <v>100</v>
      </c>
      <c r="F129" s="48"/>
      <c r="G129" s="48">
        <f t="shared" si="11"/>
        <v>0</v>
      </c>
      <c r="H129" s="48"/>
      <c r="I129" s="48"/>
      <c r="J129" s="48"/>
      <c r="K129" s="48"/>
      <c r="L129" s="48"/>
      <c r="M129" s="42">
        <f t="shared" si="15"/>
        <v>0</v>
      </c>
      <c r="N129" s="42"/>
      <c r="O129" s="42"/>
    </row>
    <row r="130" spans="1:15" s="24" customFormat="1" ht="33.75" customHeight="1">
      <c r="A130" s="60">
        <f>A70+1</f>
        <v>13</v>
      </c>
      <c r="B130" s="67" t="s">
        <v>372</v>
      </c>
      <c r="C130" s="47">
        <f>D130+M130+G130</f>
        <v>2340</v>
      </c>
      <c r="D130" s="48">
        <f t="shared" si="10"/>
        <v>2340</v>
      </c>
      <c r="E130" s="48">
        <f>SUM(E86:E129)</f>
        <v>2340</v>
      </c>
      <c r="F130" s="48">
        <f>SUM(F88:F129)</f>
        <v>0</v>
      </c>
      <c r="G130" s="48">
        <f t="shared" si="11"/>
        <v>0</v>
      </c>
      <c r="H130" s="48">
        <f>SUM(H86:H129)</f>
        <v>0</v>
      </c>
      <c r="I130" s="48">
        <f>SUM(I88:I129)</f>
        <v>0</v>
      </c>
      <c r="J130" s="48">
        <f>K130+L130</f>
        <v>0</v>
      </c>
      <c r="K130" s="48">
        <f>SUM(K86:K129)</f>
        <v>0</v>
      </c>
      <c r="L130" s="48">
        <f>SUM(L88:L129)</f>
        <v>0</v>
      </c>
      <c r="M130" s="48">
        <f>N130+O130</f>
        <v>0</v>
      </c>
      <c r="N130" s="48">
        <f>SUM(N86:N129)</f>
        <v>0</v>
      </c>
      <c r="O130" s="48">
        <f>SUM(O88:O129)</f>
        <v>0</v>
      </c>
    </row>
    <row r="131" spans="1:15" s="117" customFormat="1" ht="20.100000000000001" hidden="1" customHeight="1" outlineLevel="1">
      <c r="A131" s="125" t="s">
        <v>287</v>
      </c>
      <c r="B131" s="121" t="s">
        <v>333</v>
      </c>
      <c r="C131" s="115" t="e">
        <f>#REF!+#REF!+D131+M131+G131</f>
        <v>#REF!</v>
      </c>
      <c r="D131" s="114"/>
      <c r="E131" s="114"/>
      <c r="F131" s="114"/>
      <c r="G131" s="114">
        <f>H131+I131</f>
        <v>0</v>
      </c>
      <c r="H131" s="114">
        <f>30*0</f>
        <v>0</v>
      </c>
      <c r="I131" s="114"/>
      <c r="J131" s="114"/>
      <c r="K131" s="114"/>
      <c r="L131" s="114"/>
      <c r="M131" s="114"/>
      <c r="N131" s="114"/>
      <c r="O131" s="114"/>
    </row>
    <row r="132" spans="1:15" s="117" customFormat="1" ht="20.100000000000001" hidden="1" customHeight="1" outlineLevel="1">
      <c r="A132" s="126" t="s">
        <v>286</v>
      </c>
      <c r="B132" s="121" t="s">
        <v>57</v>
      </c>
      <c r="C132" s="115" t="e">
        <f>#REF!+#REF!+D132+M132+G132</f>
        <v>#REF!</v>
      </c>
      <c r="D132" s="114">
        <f>E132+F132</f>
        <v>0</v>
      </c>
      <c r="E132" s="114"/>
      <c r="F132" s="114"/>
      <c r="G132" s="114">
        <f>H132+I132</f>
        <v>0</v>
      </c>
      <c r="H132" s="114">
        <f>40*0</f>
        <v>0</v>
      </c>
      <c r="I132" s="114"/>
      <c r="J132" s="114"/>
      <c r="K132" s="114"/>
      <c r="L132" s="114"/>
      <c r="M132" s="116">
        <f>N132+O132</f>
        <v>0</v>
      </c>
      <c r="N132" s="116"/>
      <c r="O132" s="116"/>
    </row>
    <row r="133" spans="1:15" s="117" customFormat="1" ht="20.100000000000001" hidden="1" customHeight="1" outlineLevel="1">
      <c r="A133" s="126" t="s">
        <v>285</v>
      </c>
      <c r="B133" s="121" t="s">
        <v>7</v>
      </c>
      <c r="C133" s="115" t="e">
        <f>#REF!+#REF!+D133+M133+G133</f>
        <v>#REF!</v>
      </c>
      <c r="D133" s="114">
        <f>E133+F133</f>
        <v>0</v>
      </c>
      <c r="E133" s="114"/>
      <c r="F133" s="114"/>
      <c r="G133" s="114">
        <f>H133+I133</f>
        <v>0</v>
      </c>
      <c r="H133" s="114">
        <f>180*0</f>
        <v>0</v>
      </c>
      <c r="I133" s="114"/>
      <c r="J133" s="114"/>
      <c r="K133" s="114"/>
      <c r="L133" s="114"/>
      <c r="M133" s="116">
        <f>N133+O133</f>
        <v>0</v>
      </c>
      <c r="N133" s="116"/>
      <c r="O133" s="116"/>
    </row>
    <row r="134" spans="1:15" s="26" customFormat="1" ht="20.100000000000001" customHeight="1" collapsed="1">
      <c r="A134" s="73" t="s">
        <v>281</v>
      </c>
      <c r="B134" s="67" t="s">
        <v>211</v>
      </c>
      <c r="C134" s="47">
        <f>D134+M134+G134</f>
        <v>0</v>
      </c>
      <c r="D134" s="48">
        <f t="shared" si="10"/>
        <v>0</v>
      </c>
      <c r="E134" s="48"/>
      <c r="F134" s="48"/>
      <c r="G134" s="48">
        <f t="shared" si="11"/>
        <v>0</v>
      </c>
      <c r="H134" s="48"/>
      <c r="I134" s="48"/>
      <c r="J134" s="48"/>
      <c r="K134" s="48"/>
      <c r="L134" s="48"/>
      <c r="M134" s="42">
        <f t="shared" si="15"/>
        <v>0</v>
      </c>
      <c r="N134" s="42"/>
      <c r="O134" s="42"/>
    </row>
    <row r="135" spans="1:15" s="117" customFormat="1" ht="20.100000000000001" hidden="1" customHeight="1" outlineLevel="1">
      <c r="A135" s="126" t="s">
        <v>284</v>
      </c>
      <c r="B135" s="121" t="s">
        <v>140</v>
      </c>
      <c r="C135" s="115" t="e">
        <f>#REF!+#REF!+D135+M135+G135</f>
        <v>#REF!</v>
      </c>
      <c r="D135" s="114">
        <f t="shared" si="10"/>
        <v>0</v>
      </c>
      <c r="E135" s="114">
        <f>40*0</f>
        <v>0</v>
      </c>
      <c r="F135" s="114"/>
      <c r="G135" s="114">
        <f t="shared" si="11"/>
        <v>0</v>
      </c>
      <c r="H135" s="114"/>
      <c r="I135" s="114"/>
      <c r="J135" s="114"/>
      <c r="K135" s="114"/>
      <c r="L135" s="114"/>
      <c r="M135" s="116">
        <f t="shared" si="15"/>
        <v>0</v>
      </c>
      <c r="N135" s="116"/>
      <c r="O135" s="116"/>
    </row>
    <row r="136" spans="1:15" s="117" customFormat="1" ht="30" hidden="1" customHeight="1" outlineLevel="1">
      <c r="A136" s="126" t="s">
        <v>283</v>
      </c>
      <c r="B136" s="121" t="s">
        <v>54</v>
      </c>
      <c r="C136" s="115" t="e">
        <f>#REF!+#REF!+D136+M136+G136</f>
        <v>#REF!</v>
      </c>
      <c r="D136" s="114">
        <f t="shared" si="10"/>
        <v>0</v>
      </c>
      <c r="E136" s="114"/>
      <c r="F136" s="114"/>
      <c r="G136" s="114">
        <f t="shared" si="11"/>
        <v>0</v>
      </c>
      <c r="H136" s="114">
        <f>30*0</f>
        <v>0</v>
      </c>
      <c r="I136" s="114"/>
      <c r="J136" s="114"/>
      <c r="K136" s="114"/>
      <c r="L136" s="114"/>
      <c r="M136" s="116">
        <f t="shared" si="15"/>
        <v>0</v>
      </c>
      <c r="N136" s="116"/>
      <c r="O136" s="116"/>
    </row>
    <row r="137" spans="1:15" s="117" customFormat="1" ht="20.100000000000001" hidden="1" customHeight="1" outlineLevel="1">
      <c r="A137" s="126" t="s">
        <v>282</v>
      </c>
      <c r="B137" s="121" t="s">
        <v>141</v>
      </c>
      <c r="C137" s="115" t="e">
        <f>#REF!+#REF!+D137+M137+G137</f>
        <v>#REF!</v>
      </c>
      <c r="D137" s="114">
        <f t="shared" si="10"/>
        <v>0</v>
      </c>
      <c r="E137" s="114"/>
      <c r="F137" s="114"/>
      <c r="G137" s="114">
        <f t="shared" si="11"/>
        <v>0</v>
      </c>
      <c r="H137" s="114">
        <f>60*0</f>
        <v>0</v>
      </c>
      <c r="I137" s="114"/>
      <c r="J137" s="114"/>
      <c r="K137" s="114"/>
      <c r="L137" s="114"/>
      <c r="M137" s="116">
        <f t="shared" si="15"/>
        <v>0</v>
      </c>
      <c r="N137" s="116"/>
      <c r="O137" s="116"/>
    </row>
    <row r="138" spans="1:15" s="26" customFormat="1" ht="20.100000000000001" customHeight="1" collapsed="1">
      <c r="A138" s="73" t="s">
        <v>280</v>
      </c>
      <c r="B138" s="67" t="s">
        <v>55</v>
      </c>
      <c r="C138" s="47">
        <f>D138+M138+G138</f>
        <v>0</v>
      </c>
      <c r="D138" s="48">
        <f t="shared" si="10"/>
        <v>0</v>
      </c>
      <c r="E138" s="48"/>
      <c r="F138" s="48"/>
      <c r="G138" s="48">
        <f t="shared" si="11"/>
        <v>0</v>
      </c>
      <c r="H138" s="48"/>
      <c r="I138" s="48"/>
      <c r="J138" s="48"/>
      <c r="K138" s="48"/>
      <c r="L138" s="48"/>
      <c r="M138" s="42">
        <f t="shared" si="15"/>
        <v>0</v>
      </c>
      <c r="N138" s="42"/>
      <c r="O138" s="42"/>
    </row>
    <row r="139" spans="1:15" s="26" customFormat="1" ht="20.100000000000001" customHeight="1">
      <c r="A139" s="73" t="s">
        <v>279</v>
      </c>
      <c r="B139" s="67" t="s">
        <v>56</v>
      </c>
      <c r="C139" s="47">
        <f>D139+M139+G139</f>
        <v>0</v>
      </c>
      <c r="D139" s="48">
        <f t="shared" si="10"/>
        <v>0</v>
      </c>
      <c r="E139" s="48"/>
      <c r="F139" s="48"/>
      <c r="G139" s="48">
        <f t="shared" si="11"/>
        <v>0</v>
      </c>
      <c r="H139" s="48"/>
      <c r="I139" s="48"/>
      <c r="J139" s="48"/>
      <c r="K139" s="48"/>
      <c r="L139" s="48"/>
      <c r="M139" s="42">
        <f t="shared" si="15"/>
        <v>0</v>
      </c>
      <c r="N139" s="42"/>
      <c r="O139" s="42"/>
    </row>
    <row r="140" spans="1:15" s="117" customFormat="1" ht="20.100000000000001" hidden="1" customHeight="1" outlineLevel="1">
      <c r="A140" s="126" t="s">
        <v>280</v>
      </c>
      <c r="B140" s="121" t="s">
        <v>58</v>
      </c>
      <c r="C140" s="115" t="e">
        <f>#REF!+#REF!+D140+M140+G140</f>
        <v>#REF!</v>
      </c>
      <c r="D140" s="114">
        <f t="shared" si="10"/>
        <v>0</v>
      </c>
      <c r="E140" s="114">
        <f>30*0</f>
        <v>0</v>
      </c>
      <c r="F140" s="114"/>
      <c r="G140" s="114">
        <f t="shared" si="11"/>
        <v>0</v>
      </c>
      <c r="H140" s="114"/>
      <c r="I140" s="114"/>
      <c r="J140" s="114"/>
      <c r="K140" s="114"/>
      <c r="L140" s="114"/>
      <c r="M140" s="116">
        <f t="shared" si="15"/>
        <v>0</v>
      </c>
      <c r="N140" s="116"/>
      <c r="O140" s="116"/>
    </row>
    <row r="141" spans="1:15" s="117" customFormat="1" ht="20.100000000000001" hidden="1" customHeight="1" outlineLevel="1">
      <c r="A141" s="126" t="s">
        <v>279</v>
      </c>
      <c r="B141" s="121" t="s">
        <v>441</v>
      </c>
      <c r="C141" s="115" t="e">
        <f>#REF!+#REF!+D141+M141+G141</f>
        <v>#REF!</v>
      </c>
      <c r="D141" s="114">
        <f>E141+F141</f>
        <v>0</v>
      </c>
      <c r="E141" s="114">
        <f>30*0</f>
        <v>0</v>
      </c>
      <c r="F141" s="114"/>
      <c r="G141" s="114">
        <f>H141+I141</f>
        <v>0</v>
      </c>
      <c r="H141" s="114"/>
      <c r="I141" s="114"/>
      <c r="J141" s="114"/>
      <c r="K141" s="114"/>
      <c r="L141" s="114"/>
      <c r="M141" s="116">
        <f>N141+O141</f>
        <v>0</v>
      </c>
      <c r="N141" s="116"/>
      <c r="O141" s="116"/>
    </row>
    <row r="142" spans="1:15" s="26" customFormat="1" ht="20.100000000000001" customHeight="1" collapsed="1">
      <c r="A142" s="73" t="s">
        <v>278</v>
      </c>
      <c r="B142" s="67" t="s">
        <v>419</v>
      </c>
      <c r="C142" s="47">
        <f>D142+M142+G142</f>
        <v>0</v>
      </c>
      <c r="D142" s="48">
        <f t="shared" si="10"/>
        <v>0</v>
      </c>
      <c r="E142" s="48"/>
      <c r="F142" s="48"/>
      <c r="G142" s="48">
        <f t="shared" si="11"/>
        <v>0</v>
      </c>
      <c r="H142" s="48"/>
      <c r="I142" s="48"/>
      <c r="J142" s="48"/>
      <c r="K142" s="48"/>
      <c r="L142" s="48"/>
      <c r="M142" s="42">
        <f t="shared" si="15"/>
        <v>0</v>
      </c>
      <c r="N142" s="42"/>
      <c r="O142" s="42"/>
    </row>
    <row r="143" spans="1:15" s="26" customFormat="1" ht="20.100000000000001" customHeight="1">
      <c r="A143" s="73" t="s">
        <v>277</v>
      </c>
      <c r="B143" s="67" t="s">
        <v>119</v>
      </c>
      <c r="C143" s="47">
        <f>D143+M143+G143</f>
        <v>0</v>
      </c>
      <c r="D143" s="48">
        <f t="shared" si="10"/>
        <v>0</v>
      </c>
      <c r="E143" s="48"/>
      <c r="F143" s="48"/>
      <c r="G143" s="48">
        <f t="shared" si="11"/>
        <v>0</v>
      </c>
      <c r="H143" s="48"/>
      <c r="I143" s="48"/>
      <c r="J143" s="48"/>
      <c r="K143" s="48"/>
      <c r="L143" s="48"/>
      <c r="M143" s="42">
        <f t="shared" si="15"/>
        <v>0</v>
      </c>
      <c r="N143" s="42"/>
      <c r="O143" s="42"/>
    </row>
    <row r="144" spans="1:15" s="1" customFormat="1" ht="20.100000000000001" customHeight="1">
      <c r="A144" s="74" t="s">
        <v>276</v>
      </c>
      <c r="B144" s="67" t="s">
        <v>370</v>
      </c>
      <c r="C144" s="47">
        <f>D144+M144+G144</f>
        <v>0</v>
      </c>
      <c r="D144" s="48">
        <f t="shared" si="10"/>
        <v>0</v>
      </c>
      <c r="E144" s="48">
        <f>SUM(E131:E143)</f>
        <v>0</v>
      </c>
      <c r="F144" s="48">
        <f>SUM(F132:F143)</f>
        <v>0</v>
      </c>
      <c r="G144" s="48">
        <f t="shared" si="11"/>
        <v>0</v>
      </c>
      <c r="H144" s="48">
        <f>SUM(H131:H143)</f>
        <v>0</v>
      </c>
      <c r="I144" s="48">
        <f>SUM(I132:I143)</f>
        <v>0</v>
      </c>
      <c r="J144" s="48">
        <f>K144+L144</f>
        <v>0</v>
      </c>
      <c r="K144" s="48">
        <f>SUM(K131:K143)</f>
        <v>0</v>
      </c>
      <c r="L144" s="48">
        <f>SUM(L132:L143)</f>
        <v>0</v>
      </c>
      <c r="M144" s="42">
        <f t="shared" si="15"/>
        <v>0</v>
      </c>
      <c r="N144" s="48">
        <f>SUM(N131:N143)</f>
        <v>0</v>
      </c>
      <c r="O144" s="42">
        <f>SUM(O132:O143)</f>
        <v>0</v>
      </c>
    </row>
    <row r="145" spans="1:15" s="1" customFormat="1" ht="20.100000000000001" customHeight="1">
      <c r="A145" s="74" t="s">
        <v>275</v>
      </c>
      <c r="B145" s="69" t="s">
        <v>8</v>
      </c>
      <c r="C145" s="47">
        <f>D145+M145+G145</f>
        <v>100</v>
      </c>
      <c r="D145" s="48">
        <f>E145+F145</f>
        <v>100</v>
      </c>
      <c r="E145" s="48">
        <v>100</v>
      </c>
      <c r="F145" s="48"/>
      <c r="G145" s="48">
        <f>H145+I145</f>
        <v>0</v>
      </c>
      <c r="H145" s="48"/>
      <c r="I145" s="48"/>
      <c r="J145" s="48"/>
      <c r="K145" s="48"/>
      <c r="L145" s="48"/>
      <c r="M145" s="42">
        <f t="shared" si="15"/>
        <v>0</v>
      </c>
      <c r="N145" s="42"/>
      <c r="O145" s="42"/>
    </row>
    <row r="146" spans="1:15" s="24" customFormat="1" ht="47.25" customHeight="1">
      <c r="A146" s="60">
        <f>A130+1</f>
        <v>14</v>
      </c>
      <c r="B146" s="67" t="s">
        <v>371</v>
      </c>
      <c r="C146" s="47">
        <f>D146+M146+G146</f>
        <v>100</v>
      </c>
      <c r="D146" s="48">
        <f>E146+F146</f>
        <v>100</v>
      </c>
      <c r="E146" s="48">
        <f>SUM(E144:E145)</f>
        <v>100</v>
      </c>
      <c r="F146" s="48">
        <f>SUM(F144:F145)</f>
        <v>0</v>
      </c>
      <c r="G146" s="48">
        <f>H146+I146</f>
        <v>0</v>
      </c>
      <c r="H146" s="48">
        <f>SUM(H144:H145)</f>
        <v>0</v>
      </c>
      <c r="I146" s="48">
        <f>SUM(I144:I145)</f>
        <v>0</v>
      </c>
      <c r="J146" s="48">
        <f>K146+L146</f>
        <v>0</v>
      </c>
      <c r="K146" s="48">
        <f>SUM(K144:K145)</f>
        <v>0</v>
      </c>
      <c r="L146" s="48">
        <f>SUM(L144:L145)</f>
        <v>0</v>
      </c>
      <c r="M146" s="42">
        <f t="shared" si="15"/>
        <v>0</v>
      </c>
      <c r="N146" s="42">
        <f>SUM(N144:N145)</f>
        <v>0</v>
      </c>
      <c r="O146" s="42">
        <f>SUM(O144:O145)</f>
        <v>0</v>
      </c>
    </row>
    <row r="147" spans="1:15" s="90" customFormat="1" ht="15" customHeight="1">
      <c r="A147" s="1665" t="s">
        <v>310</v>
      </c>
      <c r="B147" s="1665"/>
      <c r="C147" s="96">
        <f>D147+M147+G147+J147</f>
        <v>2440</v>
      </c>
      <c r="D147" s="92">
        <f>E147+F147</f>
        <v>2440</v>
      </c>
      <c r="E147" s="92">
        <f>E146+E130</f>
        <v>2440</v>
      </c>
      <c r="F147" s="92">
        <f>F146+F130+F70</f>
        <v>0</v>
      </c>
      <c r="G147" s="92">
        <f>H147+I147</f>
        <v>0</v>
      </c>
      <c r="H147" s="92">
        <f>H146+H130</f>
        <v>0</v>
      </c>
      <c r="I147" s="92">
        <f>I146+I130+I70</f>
        <v>0</v>
      </c>
      <c r="J147" s="92">
        <f>K147+L147</f>
        <v>0</v>
      </c>
      <c r="K147" s="92">
        <f>K146+K130</f>
        <v>0</v>
      </c>
      <c r="L147" s="92">
        <f>L146+L130+L70</f>
        <v>0</v>
      </c>
      <c r="M147" s="89">
        <f>N147+O147</f>
        <v>0</v>
      </c>
      <c r="N147" s="92">
        <f>N146+N130+N70</f>
        <v>0</v>
      </c>
      <c r="O147" s="89">
        <f>O146+O130+O70</f>
        <v>0</v>
      </c>
    </row>
    <row r="148" spans="1:15" s="1" customFormat="1" ht="15" customHeight="1">
      <c r="A148" s="1652" t="s">
        <v>374</v>
      </c>
      <c r="B148" s="1653"/>
      <c r="C148" s="1653"/>
      <c r="D148" s="1653"/>
      <c r="E148" s="1653"/>
      <c r="F148" s="1653"/>
      <c r="G148" s="1653"/>
      <c r="H148" s="1653"/>
      <c r="I148" s="1653"/>
      <c r="J148" s="1653"/>
      <c r="K148" s="1653"/>
      <c r="L148" s="1653"/>
      <c r="M148" s="1653"/>
      <c r="N148" s="1653"/>
      <c r="O148" s="1654"/>
    </row>
    <row r="149" spans="1:15" s="1" customFormat="1" ht="15" customHeight="1">
      <c r="A149" s="75" t="s">
        <v>291</v>
      </c>
      <c r="B149" s="76" t="s">
        <v>10</v>
      </c>
      <c r="C149" s="47">
        <f>D149+M149+G149+J149</f>
        <v>934</v>
      </c>
      <c r="D149" s="48">
        <f>E149+F149</f>
        <v>370</v>
      </c>
      <c r="E149" s="48">
        <v>370</v>
      </c>
      <c r="F149" s="48"/>
      <c r="G149" s="48">
        <f>H149+I149</f>
        <v>44</v>
      </c>
      <c r="H149" s="48">
        <v>44</v>
      </c>
      <c r="I149" s="48"/>
      <c r="J149" s="48">
        <f>K149</f>
        <v>220</v>
      </c>
      <c r="K149" s="48">
        <v>220</v>
      </c>
      <c r="L149" s="48"/>
      <c r="M149" s="42">
        <f>N149+O149</f>
        <v>300</v>
      </c>
      <c r="N149" s="42">
        <v>300</v>
      </c>
      <c r="O149" s="42"/>
    </row>
    <row r="150" spans="1:15" s="1" customFormat="1" ht="15" customHeight="1">
      <c r="A150" s="75" t="s">
        <v>290</v>
      </c>
      <c r="B150" s="76" t="s">
        <v>442</v>
      </c>
      <c r="C150" s="47">
        <f>D150+M150+G150+J150</f>
        <v>817</v>
      </c>
      <c r="D150" s="48">
        <f t="shared" ref="D150:D166" si="16">E150+F150</f>
        <v>297</v>
      </c>
      <c r="E150" s="48">
        <v>297</v>
      </c>
      <c r="F150" s="48"/>
      <c r="G150" s="48">
        <f t="shared" ref="G150:G166" si="17">H150+I150</f>
        <v>0</v>
      </c>
      <c r="H150" s="48">
        <v>0</v>
      </c>
      <c r="I150" s="48"/>
      <c r="J150" s="48">
        <f>K150</f>
        <v>470</v>
      </c>
      <c r="K150" s="48">
        <v>470</v>
      </c>
      <c r="L150" s="48"/>
      <c r="M150" s="42">
        <f>N150+O150</f>
        <v>50</v>
      </c>
      <c r="N150" s="42">
        <v>50</v>
      </c>
      <c r="O150" s="42"/>
    </row>
    <row r="151" spans="1:15" s="1" customFormat="1" ht="15" customHeight="1">
      <c r="A151" s="75" t="s">
        <v>289</v>
      </c>
      <c r="B151" s="76" t="s">
        <v>20</v>
      </c>
      <c r="C151" s="47">
        <f>D151+M151+G151+J151</f>
        <v>760</v>
      </c>
      <c r="D151" s="48">
        <f t="shared" si="16"/>
        <v>150</v>
      </c>
      <c r="E151" s="48">
        <v>150</v>
      </c>
      <c r="F151" s="48"/>
      <c r="G151" s="48">
        <f t="shared" si="17"/>
        <v>50</v>
      </c>
      <c r="H151" s="48">
        <v>50</v>
      </c>
      <c r="I151" s="48"/>
      <c r="J151" s="48">
        <f>K151</f>
        <v>450</v>
      </c>
      <c r="K151" s="48">
        <v>450</v>
      </c>
      <c r="L151" s="48"/>
      <c r="M151" s="42">
        <f>N151+O151</f>
        <v>110</v>
      </c>
      <c r="N151" s="42">
        <v>110</v>
      </c>
      <c r="O151" s="42"/>
    </row>
    <row r="152" spans="1:15" s="24" customFormat="1" ht="15" customHeight="1">
      <c r="A152" s="75" t="s">
        <v>288</v>
      </c>
      <c r="B152" s="76" t="s">
        <v>9</v>
      </c>
      <c r="C152" s="47">
        <f>D152+M152+G152+J152</f>
        <v>1626</v>
      </c>
      <c r="D152" s="48">
        <f t="shared" si="16"/>
        <v>50</v>
      </c>
      <c r="E152" s="48">
        <f>1200-1150</f>
        <v>50</v>
      </c>
      <c r="F152" s="48"/>
      <c r="G152" s="48">
        <f t="shared" si="17"/>
        <v>0</v>
      </c>
      <c r="H152" s="48"/>
      <c r="I152" s="48"/>
      <c r="J152" s="48">
        <f>K152</f>
        <v>0</v>
      </c>
      <c r="K152" s="48">
        <f>426*0</f>
        <v>0</v>
      </c>
      <c r="L152" s="48"/>
      <c r="M152" s="42">
        <f>N152+O152</f>
        <v>1576</v>
      </c>
      <c r="N152" s="42">
        <f>1150+426</f>
        <v>1576</v>
      </c>
      <c r="O152" s="42"/>
    </row>
    <row r="153" spans="1:15" s="2" customFormat="1" ht="30" customHeight="1">
      <c r="A153" s="60">
        <f>A146+1</f>
        <v>15</v>
      </c>
      <c r="B153" s="69" t="s">
        <v>433</v>
      </c>
      <c r="C153" s="47">
        <f>D153+M153+G153+J153</f>
        <v>4137</v>
      </c>
      <c r="D153" s="48">
        <f t="shared" si="16"/>
        <v>867</v>
      </c>
      <c r="E153" s="48">
        <f>SUM(E149:E152)</f>
        <v>867</v>
      </c>
      <c r="F153" s="48"/>
      <c r="G153" s="48">
        <f>H153+I153</f>
        <v>94</v>
      </c>
      <c r="H153" s="48">
        <f>SUM(H149:H152)</f>
        <v>94</v>
      </c>
      <c r="I153" s="48">
        <f>SUM(I149:I152)</f>
        <v>0</v>
      </c>
      <c r="J153" s="48">
        <f>K153+L153</f>
        <v>1140</v>
      </c>
      <c r="K153" s="48">
        <f>SUM(K149:K152)</f>
        <v>1140</v>
      </c>
      <c r="L153" s="48">
        <f>SUM(L149:L152)</f>
        <v>0</v>
      </c>
      <c r="M153" s="42">
        <f>N153+O153</f>
        <v>2036</v>
      </c>
      <c r="N153" s="45">
        <f>N149+N150+N151+N152</f>
        <v>2036</v>
      </c>
      <c r="O153" s="45"/>
    </row>
    <row r="154" spans="1:15" s="29" customFormat="1" ht="24" hidden="1" customHeight="1" outlineLevel="1">
      <c r="A154" s="60"/>
      <c r="B154" s="69" t="s">
        <v>242</v>
      </c>
      <c r="C154" s="47" t="e">
        <f>#REF!+#REF!+D154+M154+G154+J154</f>
        <v>#REF!</v>
      </c>
      <c r="D154" s="48"/>
      <c r="E154" s="48"/>
      <c r="F154" s="48"/>
      <c r="G154" s="48"/>
      <c r="H154" s="48"/>
      <c r="I154" s="48"/>
      <c r="J154" s="48">
        <f>K154</f>
        <v>0</v>
      </c>
      <c r="K154" s="48">
        <f>31000*0</f>
        <v>0</v>
      </c>
      <c r="L154" s="48"/>
      <c r="M154" s="45"/>
      <c r="N154" s="45"/>
      <c r="O154" s="45"/>
    </row>
    <row r="155" spans="1:15" s="29" customFormat="1" ht="85.5" hidden="1" customHeight="1" outlineLevel="1">
      <c r="A155" s="77"/>
      <c r="B155" s="64" t="s">
        <v>298</v>
      </c>
      <c r="C155" s="47" t="e">
        <f>#REF!+#REF!+D155+M155+G155</f>
        <v>#REF!</v>
      </c>
      <c r="D155" s="48">
        <f t="shared" si="16"/>
        <v>0</v>
      </c>
      <c r="E155" s="48"/>
      <c r="F155" s="48"/>
      <c r="G155" s="48">
        <f t="shared" si="17"/>
        <v>0</v>
      </c>
      <c r="H155" s="48"/>
      <c r="I155" s="48"/>
      <c r="J155" s="48"/>
      <c r="K155" s="48"/>
      <c r="L155" s="48"/>
      <c r="M155" s="45">
        <f>N155</f>
        <v>0</v>
      </c>
      <c r="N155" s="45">
        <f>20000*0</f>
        <v>0</v>
      </c>
      <c r="O155" s="45"/>
    </row>
    <row r="156" spans="1:15" s="28" customFormat="1" ht="45" hidden="1" customHeight="1" outlineLevel="1">
      <c r="A156" s="78"/>
      <c r="B156" s="64" t="s">
        <v>157</v>
      </c>
      <c r="C156" s="47" t="e">
        <f>#REF!+#REF!+D156+M156+G156</f>
        <v>#REF!</v>
      </c>
      <c r="D156" s="48">
        <f t="shared" si="16"/>
        <v>0</v>
      </c>
      <c r="E156" s="48"/>
      <c r="F156" s="48"/>
      <c r="G156" s="48">
        <f t="shared" si="17"/>
        <v>0</v>
      </c>
      <c r="H156" s="48"/>
      <c r="I156" s="48"/>
      <c r="J156" s="48"/>
      <c r="K156" s="48"/>
      <c r="L156" s="48"/>
      <c r="M156" s="45"/>
      <c r="N156" s="45"/>
      <c r="O156" s="45"/>
    </row>
    <row r="157" spans="1:15" s="28" customFormat="1" ht="19.5" hidden="1" customHeight="1" outlineLevel="1">
      <c r="A157" s="78"/>
      <c r="B157" s="64" t="s">
        <v>125</v>
      </c>
      <c r="C157" s="47" t="e">
        <f>#REF!+#REF!+D157+M157+G157</f>
        <v>#REF!</v>
      </c>
      <c r="D157" s="48">
        <f t="shared" si="16"/>
        <v>0</v>
      </c>
      <c r="E157" s="48"/>
      <c r="F157" s="48"/>
      <c r="G157" s="48">
        <f t="shared" si="17"/>
        <v>0</v>
      </c>
      <c r="H157" s="48"/>
      <c r="I157" s="48"/>
      <c r="J157" s="48"/>
      <c r="K157" s="48"/>
      <c r="L157" s="48"/>
      <c r="M157" s="45"/>
      <c r="N157" s="45"/>
      <c r="O157" s="45"/>
    </row>
    <row r="158" spans="1:15" s="28" customFormat="1" ht="25.5" hidden="1" outlineLevel="1">
      <c r="A158" s="78"/>
      <c r="B158" s="64" t="s">
        <v>158</v>
      </c>
      <c r="C158" s="47" t="e">
        <f>#REF!+#REF!+D158+M158+G158</f>
        <v>#REF!</v>
      </c>
      <c r="D158" s="48">
        <f t="shared" si="16"/>
        <v>0</v>
      </c>
      <c r="E158" s="48"/>
      <c r="F158" s="48"/>
      <c r="G158" s="48">
        <f t="shared" si="17"/>
        <v>0</v>
      </c>
      <c r="H158" s="48"/>
      <c r="I158" s="48"/>
      <c r="J158" s="48"/>
      <c r="K158" s="48"/>
      <c r="L158" s="48"/>
      <c r="M158" s="45"/>
      <c r="N158" s="45"/>
      <c r="O158" s="45"/>
    </row>
    <row r="159" spans="1:15" s="29" customFormat="1" ht="45" hidden="1" customHeight="1" outlineLevel="1">
      <c r="A159" s="77"/>
      <c r="B159" s="64" t="s">
        <v>59</v>
      </c>
      <c r="C159" s="47" t="e">
        <f>#REF!+#REF!+D159+M159+G159</f>
        <v>#REF!</v>
      </c>
      <c r="D159" s="48">
        <f>E159+F159</f>
        <v>0</v>
      </c>
      <c r="E159" s="48"/>
      <c r="F159" s="48"/>
      <c r="G159" s="48">
        <f>H159+I159</f>
        <v>0</v>
      </c>
      <c r="H159" s="48"/>
      <c r="I159" s="48"/>
      <c r="J159" s="48"/>
      <c r="K159" s="48"/>
      <c r="L159" s="48"/>
      <c r="M159" s="45">
        <f>N159</f>
        <v>0</v>
      </c>
      <c r="N159" s="45">
        <f>170*0</f>
        <v>0</v>
      </c>
      <c r="O159" s="45"/>
    </row>
    <row r="160" spans="1:15" s="1" customFormat="1" ht="20.100000000000001" customHeight="1" collapsed="1">
      <c r="A160" s="58">
        <v>16</v>
      </c>
      <c r="B160" s="67" t="s">
        <v>128</v>
      </c>
      <c r="C160" s="47">
        <f>D160+M160+G160</f>
        <v>50</v>
      </c>
      <c r="D160" s="48">
        <f t="shared" si="16"/>
        <v>50</v>
      </c>
      <c r="E160" s="47">
        <v>50</v>
      </c>
      <c r="F160" s="47"/>
      <c r="G160" s="48">
        <f t="shared" si="17"/>
        <v>0</v>
      </c>
      <c r="H160" s="47"/>
      <c r="I160" s="47"/>
      <c r="J160" s="47"/>
      <c r="K160" s="47"/>
      <c r="L160" s="47"/>
      <c r="M160" s="42"/>
      <c r="N160" s="42"/>
      <c r="O160" s="42"/>
    </row>
    <row r="161" spans="1:15" s="27" customFormat="1" ht="34.5" hidden="1" customHeight="1" outlineLevel="1">
      <c r="A161" s="58"/>
      <c r="B161" s="64" t="s">
        <v>127</v>
      </c>
      <c r="C161" s="47" t="e">
        <f>#REF!+#REF!+D161+M161+G161</f>
        <v>#REF!</v>
      </c>
      <c r="D161" s="48">
        <f>E161+F161</f>
        <v>0</v>
      </c>
      <c r="E161" s="48"/>
      <c r="F161" s="48"/>
      <c r="G161" s="48">
        <f t="shared" si="17"/>
        <v>0</v>
      </c>
      <c r="H161" s="48"/>
      <c r="I161" s="48"/>
      <c r="J161" s="48"/>
      <c r="K161" s="48"/>
      <c r="L161" s="48"/>
      <c r="M161" s="42"/>
      <c r="N161" s="42"/>
      <c r="O161" s="42"/>
    </row>
    <row r="162" spans="1:15" s="27" customFormat="1" ht="34.5" hidden="1" customHeight="1" outlineLevel="1">
      <c r="A162" s="58"/>
      <c r="B162" s="67" t="s">
        <v>126</v>
      </c>
      <c r="C162" s="47" t="e">
        <f>#REF!+#REF!+D162+M162+G162</f>
        <v>#REF!</v>
      </c>
      <c r="D162" s="48">
        <f t="shared" si="16"/>
        <v>0</v>
      </c>
      <c r="E162" s="47"/>
      <c r="F162" s="47"/>
      <c r="G162" s="48">
        <f t="shared" si="17"/>
        <v>0</v>
      </c>
      <c r="H162" s="48"/>
      <c r="I162" s="48"/>
      <c r="J162" s="48"/>
      <c r="K162" s="48"/>
      <c r="L162" s="48"/>
      <c r="M162" s="42"/>
      <c r="N162" s="42"/>
      <c r="O162" s="42"/>
    </row>
    <row r="163" spans="1:15" s="27" customFormat="1" ht="34.5" hidden="1" customHeight="1" outlineLevel="1">
      <c r="A163" s="58"/>
      <c r="B163" s="64" t="s">
        <v>123</v>
      </c>
      <c r="C163" s="47" t="e">
        <f>#REF!+#REF!+D163+M163+G163</f>
        <v>#REF!</v>
      </c>
      <c r="D163" s="48">
        <f t="shared" si="16"/>
        <v>0</v>
      </c>
      <c r="E163" s="48"/>
      <c r="F163" s="48"/>
      <c r="G163" s="48">
        <f t="shared" si="17"/>
        <v>0</v>
      </c>
      <c r="H163" s="48"/>
      <c r="I163" s="48"/>
      <c r="J163" s="48"/>
      <c r="K163" s="48"/>
      <c r="L163" s="48"/>
      <c r="M163" s="42"/>
      <c r="N163" s="42"/>
      <c r="O163" s="42"/>
    </row>
    <row r="164" spans="1:15" s="26" customFormat="1" ht="15" customHeight="1" collapsed="1">
      <c r="A164" s="58">
        <v>17</v>
      </c>
      <c r="B164" s="64" t="s">
        <v>131</v>
      </c>
      <c r="C164" s="47">
        <f>D164+M164+G164</f>
        <v>50</v>
      </c>
      <c r="D164" s="48">
        <f>E164+F164</f>
        <v>50</v>
      </c>
      <c r="E164" s="48">
        <v>50</v>
      </c>
      <c r="F164" s="48"/>
      <c r="G164" s="48">
        <f>H164+I164</f>
        <v>0</v>
      </c>
      <c r="H164" s="48"/>
      <c r="I164" s="48"/>
      <c r="J164" s="48"/>
      <c r="K164" s="48"/>
      <c r="L164" s="48"/>
      <c r="M164" s="42">
        <f>N164+O164</f>
        <v>0</v>
      </c>
      <c r="N164" s="42"/>
      <c r="O164" s="42"/>
    </row>
    <row r="165" spans="1:15" s="26" customFormat="1" ht="15" customHeight="1">
      <c r="A165" s="58">
        <v>18</v>
      </c>
      <c r="B165" s="64" t="s">
        <v>375</v>
      </c>
      <c r="C165" s="47">
        <f>D165+M165+G165+J165</f>
        <v>250</v>
      </c>
      <c r="D165" s="48"/>
      <c r="E165" s="48"/>
      <c r="F165" s="48"/>
      <c r="G165" s="48"/>
      <c r="H165" s="48"/>
      <c r="I165" s="48"/>
      <c r="J165" s="48">
        <f>K165+L165</f>
        <v>250</v>
      </c>
      <c r="K165" s="48">
        <v>250</v>
      </c>
      <c r="L165" s="48"/>
      <c r="M165" s="42"/>
      <c r="N165" s="42"/>
      <c r="O165" s="42"/>
    </row>
    <row r="166" spans="1:15" s="90" customFormat="1" ht="15" customHeight="1">
      <c r="A166" s="1665" t="s">
        <v>311</v>
      </c>
      <c r="B166" s="1665"/>
      <c r="C166" s="97">
        <f>D166+G166+M166+J166</f>
        <v>4487</v>
      </c>
      <c r="D166" s="92">
        <f t="shared" si="16"/>
        <v>967</v>
      </c>
      <c r="E166" s="92">
        <f>E160+E153+E164+E165</f>
        <v>967</v>
      </c>
      <c r="F166" s="92">
        <f>F160+F153</f>
        <v>0</v>
      </c>
      <c r="G166" s="92">
        <f t="shared" si="17"/>
        <v>94</v>
      </c>
      <c r="H166" s="92">
        <f>H160+H153+H164</f>
        <v>94</v>
      </c>
      <c r="I166" s="92">
        <f>I160+I153+I164</f>
        <v>0</v>
      </c>
      <c r="J166" s="92">
        <f>K166+L166</f>
        <v>1390</v>
      </c>
      <c r="K166" s="92">
        <f>K160+K153+K164+K165+K154</f>
        <v>1390</v>
      </c>
      <c r="L166" s="92">
        <f>L160+L153+L164</f>
        <v>0</v>
      </c>
      <c r="M166" s="89">
        <f>N166+O166</f>
        <v>2036</v>
      </c>
      <c r="N166" s="89">
        <f>N160+N153+N164+N155</f>
        <v>2036</v>
      </c>
      <c r="O166" s="89"/>
    </row>
    <row r="167" spans="1:15" s="1" customFormat="1" ht="27.75" customHeight="1">
      <c r="A167" s="1669" t="s">
        <v>427</v>
      </c>
      <c r="B167" s="1670"/>
      <c r="C167" s="1670"/>
      <c r="D167" s="1670"/>
      <c r="E167" s="1670"/>
      <c r="F167" s="1670"/>
      <c r="G167" s="1670"/>
      <c r="H167" s="1670"/>
      <c r="I167" s="1670"/>
      <c r="J167" s="1670"/>
      <c r="K167" s="1670"/>
      <c r="L167" s="1670"/>
      <c r="M167" s="1670"/>
      <c r="N167" s="1670"/>
      <c r="O167" s="1671"/>
    </row>
    <row r="168" spans="1:15" s="24" customFormat="1" ht="20.100000000000001" customHeight="1">
      <c r="A168" s="60">
        <v>19</v>
      </c>
      <c r="B168" s="64" t="s">
        <v>415</v>
      </c>
      <c r="C168" s="48">
        <f>D168+G168+J168+M168</f>
        <v>300</v>
      </c>
      <c r="D168" s="48">
        <f>E168+F168</f>
        <v>200</v>
      </c>
      <c r="E168" s="48">
        <v>200</v>
      </c>
      <c r="F168" s="48"/>
      <c r="G168" s="48">
        <f>H168</f>
        <v>100</v>
      </c>
      <c r="H168" s="48">
        <f>200-100</f>
        <v>100</v>
      </c>
      <c r="I168" s="48"/>
      <c r="J168" s="48"/>
      <c r="K168" s="48"/>
      <c r="L168" s="48"/>
      <c r="M168" s="42"/>
      <c r="N168" s="42"/>
      <c r="O168" s="42"/>
    </row>
    <row r="169" spans="1:15" s="1" customFormat="1" ht="30" customHeight="1">
      <c r="A169" s="60">
        <v>20</v>
      </c>
      <c r="B169" s="67" t="s">
        <v>434</v>
      </c>
      <c r="C169" s="48">
        <f>D169+G169+J169+M169</f>
        <v>500</v>
      </c>
      <c r="D169" s="48">
        <f>E169+F169</f>
        <v>500</v>
      </c>
      <c r="E169" s="48">
        <v>500</v>
      </c>
      <c r="F169" s="48"/>
      <c r="G169" s="48">
        <f>H169</f>
        <v>0</v>
      </c>
      <c r="H169" s="48">
        <f>500*0</f>
        <v>0</v>
      </c>
      <c r="I169" s="48"/>
      <c r="J169" s="48"/>
      <c r="K169" s="48"/>
      <c r="L169" s="48"/>
      <c r="M169" s="42"/>
      <c r="N169" s="42"/>
      <c r="O169" s="42"/>
    </row>
    <row r="170" spans="1:15" s="22" customFormat="1" ht="15" customHeight="1">
      <c r="A170" s="1651" t="s">
        <v>294</v>
      </c>
      <c r="B170" s="1651"/>
      <c r="C170" s="46">
        <f>D170+J170+G170+M170</f>
        <v>800</v>
      </c>
      <c r="D170" s="48">
        <f>E170+F170</f>
        <v>700</v>
      </c>
      <c r="E170" s="46">
        <f>E168+E169</f>
        <v>700</v>
      </c>
      <c r="F170" s="46">
        <f>F168+F169</f>
        <v>0</v>
      </c>
      <c r="G170" s="46">
        <f>H170+I170</f>
        <v>100</v>
      </c>
      <c r="H170" s="46">
        <f>H168+H169</f>
        <v>100</v>
      </c>
      <c r="I170" s="46">
        <f>I168+I169</f>
        <v>0</v>
      </c>
      <c r="J170" s="46">
        <f>K170+L170</f>
        <v>0</v>
      </c>
      <c r="K170" s="46">
        <f>K168+K169</f>
        <v>0</v>
      </c>
      <c r="L170" s="46"/>
      <c r="M170" s="45">
        <f>N170+O170</f>
        <v>0</v>
      </c>
      <c r="N170" s="45"/>
      <c r="O170" s="45"/>
    </row>
    <row r="171" spans="1:15" s="23" customFormat="1" ht="16.5" customHeight="1">
      <c r="A171" s="1668" t="s">
        <v>308</v>
      </c>
      <c r="B171" s="1668"/>
      <c r="C171" s="50">
        <f>C170+C166+C68+C147</f>
        <v>12087</v>
      </c>
      <c r="D171" s="50">
        <f>D68+D147+D166+D170</f>
        <v>6067</v>
      </c>
      <c r="E171" s="50">
        <f>E68+E147+E166+E170</f>
        <v>6067</v>
      </c>
      <c r="F171" s="50">
        <f>F68</f>
        <v>0</v>
      </c>
      <c r="G171" s="50">
        <f>G68+G147+G166+G170</f>
        <v>1394</v>
      </c>
      <c r="H171" s="50">
        <f>H68+H147+H166+H170</f>
        <v>1394</v>
      </c>
      <c r="I171" s="50">
        <f>I68+I147+I166+I170</f>
        <v>0</v>
      </c>
      <c r="J171" s="50">
        <f>K171+L171</f>
        <v>2090</v>
      </c>
      <c r="K171" s="50">
        <f>K68+K147+K166+K170</f>
        <v>2090</v>
      </c>
      <c r="L171" s="50">
        <f>L68+L147+L166+L170</f>
        <v>0</v>
      </c>
      <c r="M171" s="50">
        <f>M68+M147+M166+M170</f>
        <v>2536</v>
      </c>
      <c r="N171" s="50">
        <f>N68+N147+N166+N170</f>
        <v>2536</v>
      </c>
      <c r="O171" s="51"/>
    </row>
    <row r="172" spans="1:15" s="1" customFormat="1" ht="15" customHeight="1">
      <c r="A172" s="1666" t="s">
        <v>129</v>
      </c>
      <c r="B172" s="1667"/>
      <c r="C172" s="46">
        <f>C15</f>
        <v>54</v>
      </c>
      <c r="D172" s="46">
        <f>E172+F172</f>
        <v>54</v>
      </c>
      <c r="E172" s="46">
        <f>E15</f>
        <v>54</v>
      </c>
      <c r="F172" s="46"/>
      <c r="G172" s="46"/>
      <c r="H172" s="46"/>
      <c r="I172" s="46"/>
      <c r="J172" s="46"/>
      <c r="K172" s="46"/>
      <c r="L172" s="46"/>
      <c r="M172" s="42"/>
      <c r="N172" s="42"/>
      <c r="O172" s="42"/>
    </row>
    <row r="173" spans="1:15" s="1" customFormat="1" ht="15" customHeight="1">
      <c r="A173" s="1666" t="s">
        <v>418</v>
      </c>
      <c r="B173" s="1667"/>
      <c r="C173" s="46">
        <f>D173+G173+J173+M173</f>
        <v>56890</v>
      </c>
      <c r="D173" s="46"/>
      <c r="E173" s="46"/>
      <c r="F173" s="46"/>
      <c r="G173" s="46"/>
      <c r="H173" s="46"/>
      <c r="I173" s="46"/>
      <c r="J173" s="46">
        <f>J25</f>
        <v>22000</v>
      </c>
      <c r="K173" s="46">
        <f>K25</f>
        <v>8000</v>
      </c>
      <c r="L173" s="46">
        <f>L25</f>
        <v>14000</v>
      </c>
      <c r="M173" s="48">
        <f>N173+O173</f>
        <v>34890</v>
      </c>
      <c r="N173" s="48">
        <f>N25</f>
        <v>14756</v>
      </c>
      <c r="O173" s="48">
        <f>O25</f>
        <v>20134</v>
      </c>
    </row>
    <row r="174" spans="1:15" s="1" customFormat="1" ht="15" customHeight="1">
      <c r="A174" s="203"/>
      <c r="B174" s="79" t="s">
        <v>425</v>
      </c>
      <c r="C174" s="46">
        <f>D174+G174+J174+M174</f>
        <v>10000</v>
      </c>
      <c r="D174" s="46">
        <f>E174+F174</f>
        <v>7000</v>
      </c>
      <c r="E174" s="46">
        <f>E29</f>
        <v>5000</v>
      </c>
      <c r="F174" s="46">
        <f>F29</f>
        <v>2000</v>
      </c>
      <c r="G174" s="46">
        <f>H174+I174</f>
        <v>3000</v>
      </c>
      <c r="H174" s="46">
        <f>H29</f>
        <v>3000</v>
      </c>
      <c r="I174" s="46"/>
      <c r="J174" s="46"/>
      <c r="K174" s="46"/>
      <c r="L174" s="46"/>
      <c r="M174" s="48"/>
      <c r="N174" s="48"/>
      <c r="O174" s="48"/>
    </row>
    <row r="175" spans="1:15" s="1" customFormat="1" ht="15" customHeight="1">
      <c r="A175" s="1666" t="s">
        <v>295</v>
      </c>
      <c r="B175" s="1667"/>
      <c r="C175" s="46">
        <f>D175+G175+J175+M175</f>
        <v>79031</v>
      </c>
      <c r="D175" s="46">
        <f>D15+D68+D147+D166+D170+D29</f>
        <v>13121</v>
      </c>
      <c r="E175" s="46">
        <f>E15+E68+E147+E166+E170+E29</f>
        <v>11121</v>
      </c>
      <c r="F175" s="46">
        <f>F15+F68+F147+F166+F170+F29</f>
        <v>2000</v>
      </c>
      <c r="G175" s="46">
        <f>H175+I175</f>
        <v>4394</v>
      </c>
      <c r="H175" s="46">
        <f>H15+H68+H147+H166+H170+H29</f>
        <v>4394</v>
      </c>
      <c r="I175" s="46">
        <f>I15+I68+I147+I166+I170</f>
        <v>0</v>
      </c>
      <c r="J175" s="46">
        <f>K175+L175</f>
        <v>24090</v>
      </c>
      <c r="K175" s="46">
        <f>K15+K68+K147+K166+K170+K25</f>
        <v>10090</v>
      </c>
      <c r="L175" s="46">
        <f>L15+L68+L147+L166+L170+L25</f>
        <v>14000</v>
      </c>
      <c r="M175" s="46">
        <f>M15+M68+M147+M166+M170+M25</f>
        <v>37426</v>
      </c>
      <c r="N175" s="46">
        <f>N15+N68+N147+N166+N170+N25</f>
        <v>17292</v>
      </c>
      <c r="O175" s="46">
        <f>O15+O68+O147+O166+O170+O25</f>
        <v>20134</v>
      </c>
    </row>
    <row r="176" spans="1:15" s="1" customFormat="1" ht="15.75">
      <c r="A176" s="1650"/>
      <c r="B176" s="1650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3"/>
      <c r="N176" s="53"/>
      <c r="O176" s="53"/>
    </row>
    <row r="177" spans="1:15" s="1" customFormat="1" ht="15.75">
      <c r="A177" s="80"/>
      <c r="B177" s="81"/>
      <c r="C177" s="54"/>
      <c r="D177" s="54">
        <v>2015</v>
      </c>
      <c r="E177" s="54">
        <v>2016</v>
      </c>
      <c r="F177" s="54" t="s">
        <v>225</v>
      </c>
      <c r="G177" s="54"/>
      <c r="H177" s="54"/>
      <c r="I177" s="54"/>
      <c r="J177" s="54"/>
      <c r="K177" s="54"/>
      <c r="L177" s="54"/>
      <c r="M177" s="24"/>
      <c r="N177" s="24"/>
      <c r="O177" s="24"/>
    </row>
    <row r="178" spans="1:15" s="1" customFormat="1" ht="15.75">
      <c r="A178" s="80"/>
      <c r="B178" s="82"/>
      <c r="C178" s="54" t="s">
        <v>223</v>
      </c>
      <c r="D178" s="25">
        <f>G175</f>
        <v>4394</v>
      </c>
      <c r="E178" s="25">
        <f>J175</f>
        <v>24090</v>
      </c>
      <c r="F178" s="25">
        <f>M175</f>
        <v>37426</v>
      </c>
      <c r="G178" s="25">
        <f>D178+E178+F178</f>
        <v>65910</v>
      </c>
      <c r="H178" s="54"/>
      <c r="I178" s="54"/>
      <c r="J178" s="54"/>
      <c r="K178" s="54"/>
      <c r="L178" s="54"/>
      <c r="M178" s="24"/>
      <c r="N178" s="55"/>
      <c r="O178" s="24"/>
    </row>
    <row r="179" spans="1:15" s="1" customFormat="1" ht="15.75">
      <c r="A179" s="80"/>
      <c r="B179" s="82"/>
      <c r="C179" s="54" t="s">
        <v>224</v>
      </c>
      <c r="D179" s="25" t="e">
        <f>#REF!</f>
        <v>#REF!</v>
      </c>
      <c r="E179" s="25" t="e">
        <f>#REF!</f>
        <v>#REF!</v>
      </c>
      <c r="F179" s="25" t="e">
        <f>#REF!</f>
        <v>#REF!</v>
      </c>
      <c r="G179" s="25" t="e">
        <f>D179+E179+F179</f>
        <v>#REF!</v>
      </c>
      <c r="H179" s="54"/>
      <c r="I179" s="54"/>
      <c r="J179" s="54"/>
      <c r="K179" s="54"/>
      <c r="L179" s="54"/>
      <c r="M179" s="24"/>
      <c r="N179" s="24"/>
      <c r="O179" s="24"/>
    </row>
    <row r="180" spans="1:15" s="1" customFormat="1" ht="15.75">
      <c r="A180" s="80"/>
      <c r="B180" s="82"/>
      <c r="C180" s="54" t="s">
        <v>356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24"/>
      <c r="N180" s="24"/>
      <c r="O180" s="24"/>
    </row>
    <row r="181" spans="1:15" s="1" customFormat="1" ht="15.75">
      <c r="A181" s="80"/>
      <c r="B181" s="83"/>
      <c r="C181" s="54" t="s">
        <v>357</v>
      </c>
      <c r="D181" s="25" t="e">
        <f>D178+D179+D180</f>
        <v>#REF!</v>
      </c>
      <c r="E181" s="25" t="e">
        <f>E178+E179+E180</f>
        <v>#REF!</v>
      </c>
      <c r="F181" s="25" t="e">
        <f>F178+F179+F180</f>
        <v>#REF!</v>
      </c>
      <c r="G181" s="54"/>
      <c r="H181" s="54"/>
      <c r="I181" s="54"/>
      <c r="J181" s="54"/>
      <c r="K181" s="54"/>
      <c r="L181" s="54"/>
      <c r="M181" s="24"/>
      <c r="N181" s="24"/>
      <c r="O181" s="24"/>
    </row>
    <row r="182" spans="1:15" s="1" customFormat="1" ht="31.5">
      <c r="A182" s="80"/>
      <c r="B182" s="84"/>
      <c r="C182" s="105" t="s">
        <v>358</v>
      </c>
      <c r="D182" s="54"/>
      <c r="E182" s="54"/>
      <c r="F182" s="54"/>
      <c r="G182" s="54"/>
      <c r="H182" s="54"/>
      <c r="I182" s="54"/>
      <c r="J182" s="54"/>
      <c r="K182" s="54"/>
      <c r="L182" s="54"/>
      <c r="M182" s="24"/>
      <c r="N182" s="24"/>
      <c r="O182" s="24"/>
    </row>
  </sheetData>
  <mergeCells count="26">
    <mergeCell ref="A167:O167"/>
    <mergeCell ref="A3:O3"/>
    <mergeCell ref="A4:A6"/>
    <mergeCell ref="B4:B6"/>
    <mergeCell ref="C4:O4"/>
    <mergeCell ref="C5:C6"/>
    <mergeCell ref="D5:F5"/>
    <mergeCell ref="G5:I5"/>
    <mergeCell ref="J5:L5"/>
    <mergeCell ref="M5:O5"/>
    <mergeCell ref="A176:B176"/>
    <mergeCell ref="A170:B170"/>
    <mergeCell ref="A9:O9"/>
    <mergeCell ref="A16:O16"/>
    <mergeCell ref="A26:XFD26"/>
    <mergeCell ref="A29:B29"/>
    <mergeCell ref="A30:XFD30"/>
    <mergeCell ref="A68:B68"/>
    <mergeCell ref="A173:B173"/>
    <mergeCell ref="A148:O148"/>
    <mergeCell ref="A166:B166"/>
    <mergeCell ref="A175:B175"/>
    <mergeCell ref="A69:O69"/>
    <mergeCell ref="A147:B147"/>
    <mergeCell ref="A171:B171"/>
    <mergeCell ref="A172:B172"/>
  </mergeCells>
  <phoneticPr fontId="6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W118"/>
  <sheetViews>
    <sheetView showZeros="0" tabSelected="1" view="pageBreakPreview" zoomScale="84" zoomScaleNormal="100" zoomScaleSheetLayoutView="84" workbookViewId="0">
      <pane ySplit="8" topLeftCell="A9" activePane="bottomLeft" state="frozen"/>
      <selection activeCell="E14" sqref="A14:XFD14"/>
      <selection pane="bottomLeft" activeCell="J3" sqref="J3"/>
    </sheetView>
  </sheetViews>
  <sheetFormatPr defaultColWidth="5.85546875" defaultRowHeight="15.75" outlineLevelRow="1" outlineLevelCol="1"/>
  <cols>
    <col min="1" max="1" width="5.5703125" style="664" customWidth="1"/>
    <col min="2" max="2" width="72.85546875" style="869" customWidth="1"/>
    <col min="3" max="3" width="9.28515625" style="664" hidden="1" customWidth="1" outlineLevel="1"/>
    <col min="4" max="4" width="9.140625" style="732" customWidth="1" collapsed="1"/>
    <col min="5" max="7" width="7" style="664" hidden="1" customWidth="1" outlineLevel="1"/>
    <col min="8" max="8" width="7" style="664" customWidth="1" collapsed="1"/>
    <col min="9" max="13" width="7" style="664" customWidth="1"/>
    <col min="14" max="22" width="7" style="836" customWidth="1"/>
    <col min="23" max="23" width="8.28515625" style="836" customWidth="1"/>
    <col min="24" max="24" width="5.28515625" style="664" hidden="1" customWidth="1"/>
    <col min="25" max="25" width="5.85546875" style="664" hidden="1" customWidth="1"/>
    <col min="26" max="26" width="6.7109375" style="664" hidden="1" customWidth="1"/>
    <col min="27" max="27" width="8.140625" style="990" hidden="1" customWidth="1"/>
    <col min="28" max="28" width="6.7109375" style="664" hidden="1" customWidth="1"/>
    <col min="29" max="29" width="13.42578125" style="664" hidden="1" customWidth="1"/>
    <col min="30" max="30" width="7.28515625" style="664" hidden="1" customWidth="1"/>
    <col min="31" max="31" width="8.42578125" style="664" hidden="1" customWidth="1"/>
    <col min="32" max="32" width="8.140625" style="664" hidden="1" customWidth="1"/>
    <col min="33" max="33" width="7.140625" style="1050" hidden="1" customWidth="1" collapsed="1"/>
    <col min="34" max="35" width="7.7109375" style="1050" hidden="1" customWidth="1"/>
    <col min="36" max="36" width="8.7109375" style="1050" hidden="1" customWidth="1"/>
    <col min="37" max="37" width="12.42578125" style="1050" hidden="1" customWidth="1"/>
    <col min="38" max="38" width="5.85546875" style="1051"/>
    <col min="39" max="41" width="5.85546875" style="1035"/>
    <col min="42" max="43" width="5.85546875" style="1027"/>
    <col min="44" max="75" width="5.85546875" style="1018"/>
    <col min="76" max="16384" width="5.85546875" style="664"/>
  </cols>
  <sheetData>
    <row r="1" spans="1:75" s="718" customFormat="1" hidden="1">
      <c r="A1" s="1456"/>
      <c r="B1" s="1456"/>
      <c r="C1" s="1456"/>
      <c r="D1" s="980"/>
      <c r="E1" s="989"/>
      <c r="F1" s="989"/>
      <c r="G1" s="989"/>
      <c r="H1" s="989"/>
      <c r="I1" s="989"/>
      <c r="J1" s="989"/>
      <c r="K1" s="989"/>
      <c r="L1" s="989"/>
      <c r="M1" s="989"/>
      <c r="N1" s="981"/>
      <c r="O1" s="981"/>
      <c r="P1" s="981"/>
      <c r="Q1" s="981"/>
      <c r="R1" s="981"/>
      <c r="S1" s="981"/>
      <c r="T1" s="981"/>
      <c r="U1" s="981"/>
      <c r="V1" s="981"/>
      <c r="W1" s="981"/>
      <c r="AA1" s="874"/>
      <c r="AG1" s="1049"/>
      <c r="AH1" s="1049"/>
      <c r="AI1" s="1049"/>
      <c r="AJ1" s="1049"/>
      <c r="AK1" s="1049"/>
      <c r="AL1" s="1036"/>
      <c r="AM1" s="1034"/>
      <c r="AN1" s="1034"/>
      <c r="AO1" s="1034"/>
      <c r="AP1" s="1026"/>
      <c r="AQ1" s="1026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.75" customHeight="1">
      <c r="A2" s="1511" t="str">
        <f>'T1 wodociag 2022-2026'!A2:W2</f>
        <v>WIELOLETNI PLAN ROZWOJU I MODERNIZACJI URZĄDZEŃ WODOCIĄGOWYCH I URZĄDZEŃ KANALIZACYJNYCH TORUŃSKICH WODOCIĄGÓW SP. Z O.O. NA LATA 2022 - 2026</v>
      </c>
      <c r="B2" s="1511"/>
      <c r="C2" s="1511"/>
      <c r="D2" s="1511"/>
      <c r="E2" s="1511"/>
      <c r="F2" s="1511"/>
      <c r="G2" s="1511"/>
      <c r="H2" s="1511"/>
      <c r="I2" s="1511"/>
      <c r="J2" s="1511"/>
      <c r="K2" s="1511"/>
      <c r="L2" s="1511"/>
      <c r="M2" s="1511"/>
      <c r="N2" s="1511"/>
      <c r="O2" s="1511"/>
      <c r="P2" s="1511"/>
      <c r="Q2" s="1511"/>
      <c r="R2" s="1511"/>
      <c r="S2" s="1511"/>
      <c r="T2" s="1511"/>
      <c r="U2" s="1511"/>
      <c r="V2" s="1511"/>
      <c r="W2" s="1511"/>
      <c r="X2" s="725"/>
      <c r="Y2" s="725"/>
      <c r="Z2" s="725"/>
      <c r="AA2" s="1354"/>
      <c r="AG2" s="1186"/>
      <c r="AH2" s="1186"/>
      <c r="AI2" s="1186"/>
      <c r="AJ2" s="1186"/>
      <c r="AK2" s="1186"/>
    </row>
    <row r="3" spans="1:75" ht="18" customHeight="1">
      <c r="A3" s="1500" t="s">
        <v>1008</v>
      </c>
      <c r="B3" s="1500"/>
      <c r="C3" s="1500"/>
      <c r="D3" s="1351"/>
      <c r="E3" s="1355"/>
      <c r="F3" s="1355"/>
      <c r="G3" s="1355"/>
      <c r="H3" s="1355"/>
      <c r="I3" s="1355"/>
      <c r="J3" s="1355"/>
      <c r="K3" s="1355"/>
      <c r="L3" s="1355"/>
      <c r="M3" s="1355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1355"/>
      <c r="Y3" s="1355"/>
      <c r="Z3" s="1355"/>
      <c r="AA3" s="1497" t="e">
        <f>#REF!+G18+J18+M18</f>
        <v>#REF!</v>
      </c>
      <c r="AB3" s="1498"/>
      <c r="AC3" s="1354"/>
      <c r="AG3" s="1186"/>
      <c r="AH3" s="1186"/>
      <c r="AI3" s="1186"/>
      <c r="AJ3" s="1186"/>
      <c r="AK3" s="1186"/>
    </row>
    <row r="4" spans="1:75" s="718" customFormat="1" ht="15.75" customHeight="1">
      <c r="A4" s="1501" t="s">
        <v>13</v>
      </c>
      <c r="B4" s="1499" t="s">
        <v>17</v>
      </c>
      <c r="C4" s="1508" t="s">
        <v>112</v>
      </c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1509"/>
      <c r="O4" s="1509"/>
      <c r="P4" s="1509"/>
      <c r="Q4" s="1509"/>
      <c r="R4" s="1509"/>
      <c r="S4" s="1509"/>
      <c r="T4" s="1509"/>
      <c r="U4" s="1509"/>
      <c r="V4" s="1509"/>
      <c r="W4" s="1510"/>
      <c r="X4" s="845"/>
      <c r="Y4" s="845"/>
      <c r="Z4" s="846"/>
      <c r="AA4" s="873"/>
      <c r="AG4" s="1245"/>
      <c r="AH4" s="1245"/>
      <c r="AI4" s="1245"/>
      <c r="AJ4" s="1245"/>
      <c r="AK4" s="1245"/>
      <c r="AL4" s="1036"/>
      <c r="AM4" s="1034"/>
      <c r="AN4" s="1034"/>
      <c r="AO4" s="1034"/>
      <c r="AP4" s="1026"/>
      <c r="AQ4" s="1026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s="718" customFormat="1" ht="15.75" customHeight="1">
      <c r="A5" s="1501"/>
      <c r="B5" s="1499"/>
      <c r="C5" s="1478" t="s">
        <v>846</v>
      </c>
      <c r="D5" s="1464" t="s">
        <v>692</v>
      </c>
      <c r="E5" s="1502">
        <v>2021</v>
      </c>
      <c r="F5" s="1503"/>
      <c r="G5" s="1504"/>
      <c r="H5" s="1502">
        <v>2022</v>
      </c>
      <c r="I5" s="1503"/>
      <c r="J5" s="1504"/>
      <c r="K5" s="1502">
        <v>2023</v>
      </c>
      <c r="L5" s="1503"/>
      <c r="M5" s="1504"/>
      <c r="N5" s="1507">
        <v>2024</v>
      </c>
      <c r="O5" s="1507"/>
      <c r="P5" s="1507"/>
      <c r="Q5" s="1502">
        <v>2025</v>
      </c>
      <c r="R5" s="1503"/>
      <c r="S5" s="1504"/>
      <c r="T5" s="1502">
        <v>2026</v>
      </c>
      <c r="U5" s="1503"/>
      <c r="V5" s="1504"/>
      <c r="W5" s="1505" t="s">
        <v>846</v>
      </c>
      <c r="X5" s="1507">
        <v>2024</v>
      </c>
      <c r="Y5" s="1507"/>
      <c r="Z5" s="1507"/>
      <c r="AA5" s="874"/>
      <c r="AG5" s="1245"/>
      <c r="AH5" s="1245"/>
      <c r="AI5" s="1245"/>
      <c r="AJ5" s="1245"/>
      <c r="AK5" s="1245"/>
      <c r="AL5" s="1036"/>
      <c r="AM5" s="1034"/>
      <c r="AN5" s="1034"/>
      <c r="AO5" s="1034"/>
      <c r="AP5" s="1026"/>
      <c r="AQ5" s="1026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s="718" customFormat="1" ht="39.75" customHeight="1">
      <c r="A6" s="1501"/>
      <c r="B6" s="1499"/>
      <c r="C6" s="1478"/>
      <c r="D6" s="1469"/>
      <c r="E6" s="685" t="s">
        <v>15</v>
      </c>
      <c r="F6" s="685" t="s">
        <v>19</v>
      </c>
      <c r="G6" s="1352" t="s">
        <v>529</v>
      </c>
      <c r="H6" s="685" t="s">
        <v>15</v>
      </c>
      <c r="I6" s="685" t="s">
        <v>19</v>
      </c>
      <c r="J6" s="1352" t="s">
        <v>529</v>
      </c>
      <c r="K6" s="685" t="s">
        <v>15</v>
      </c>
      <c r="L6" s="685" t="s">
        <v>19</v>
      </c>
      <c r="M6" s="1352" t="s">
        <v>529</v>
      </c>
      <c r="N6" s="685" t="s">
        <v>15</v>
      </c>
      <c r="O6" s="685" t="s">
        <v>19</v>
      </c>
      <c r="P6" s="1352" t="s">
        <v>529</v>
      </c>
      <c r="Q6" s="685" t="s">
        <v>15</v>
      </c>
      <c r="R6" s="685" t="s">
        <v>19</v>
      </c>
      <c r="S6" s="1352" t="s">
        <v>529</v>
      </c>
      <c r="T6" s="685" t="s">
        <v>15</v>
      </c>
      <c r="U6" s="685" t="s">
        <v>19</v>
      </c>
      <c r="V6" s="1352" t="s">
        <v>529</v>
      </c>
      <c r="W6" s="1506"/>
      <c r="X6" s="685" t="s">
        <v>15</v>
      </c>
      <c r="Y6" s="685" t="s">
        <v>19</v>
      </c>
      <c r="Z6" s="1352" t="s">
        <v>533</v>
      </c>
      <c r="AA6" s="874"/>
      <c r="AD6" s="838" t="e">
        <f>#REF!+#REF!+G18+J18+M18+P18</f>
        <v>#REF!</v>
      </c>
      <c r="AG6" s="1245"/>
      <c r="AH6" s="1245"/>
      <c r="AI6" s="1245"/>
      <c r="AJ6" s="1245"/>
      <c r="AK6" s="1245"/>
      <c r="AL6" s="1036"/>
      <c r="AM6" s="1034"/>
      <c r="AN6" s="1034"/>
      <c r="AO6" s="1034"/>
      <c r="AP6" s="1026"/>
      <c r="AQ6" s="1026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s="851" customFormat="1" ht="14.25" customHeight="1">
      <c r="A7" s="1349">
        <v>1</v>
      </c>
      <c r="B7" s="1176">
        <f>A7+1</f>
        <v>2</v>
      </c>
      <c r="C7" s="1350"/>
      <c r="D7" s="1349">
        <v>3</v>
      </c>
      <c r="E7" s="1349">
        <v>4</v>
      </c>
      <c r="F7" s="1349">
        <v>5</v>
      </c>
      <c r="G7" s="1349">
        <v>6</v>
      </c>
      <c r="H7" s="1349">
        <v>4</v>
      </c>
      <c r="I7" s="1349">
        <v>5</v>
      </c>
      <c r="J7" s="1349">
        <v>6</v>
      </c>
      <c r="K7" s="1349">
        <v>7</v>
      </c>
      <c r="L7" s="1349">
        <v>8</v>
      </c>
      <c r="M7" s="1349">
        <v>9</v>
      </c>
      <c r="N7" s="1349">
        <v>10</v>
      </c>
      <c r="O7" s="1349">
        <v>11</v>
      </c>
      <c r="P7" s="1349">
        <v>12</v>
      </c>
      <c r="Q7" s="1349">
        <v>13</v>
      </c>
      <c r="R7" s="1349">
        <v>14</v>
      </c>
      <c r="S7" s="1349">
        <v>15</v>
      </c>
      <c r="T7" s="1349">
        <v>16</v>
      </c>
      <c r="U7" s="1349">
        <v>17</v>
      </c>
      <c r="V7" s="1349">
        <v>18</v>
      </c>
      <c r="W7" s="1349">
        <v>19</v>
      </c>
      <c r="X7" s="850">
        <v>16</v>
      </c>
      <c r="Y7" s="850">
        <v>17</v>
      </c>
      <c r="Z7" s="850">
        <v>18</v>
      </c>
      <c r="AE7" s="855" t="e">
        <f>AE9+#REF!</f>
        <v>#REF!</v>
      </c>
      <c r="AG7" s="1245" t="s">
        <v>803</v>
      </c>
      <c r="AH7" s="1245" t="s">
        <v>804</v>
      </c>
      <c r="AI7" s="980" t="s">
        <v>802</v>
      </c>
      <c r="AJ7" s="980" t="s">
        <v>806</v>
      </c>
      <c r="AK7" s="1351" t="s">
        <v>807</v>
      </c>
      <c r="AL7" s="1036"/>
      <c r="AM7" s="1034"/>
      <c r="AN7" s="1034"/>
      <c r="AO7" s="1034"/>
      <c r="AP7" s="1044"/>
      <c r="AQ7" s="1028"/>
      <c r="AR7" s="1019"/>
      <c r="AS7" s="1019"/>
      <c r="AT7" s="1019"/>
      <c r="AU7" s="1019"/>
      <c r="AV7" s="1019"/>
      <c r="AW7" s="1019"/>
      <c r="AX7" s="1019"/>
      <c r="AY7" s="1019"/>
      <c r="AZ7" s="1019"/>
      <c r="BA7" s="1019"/>
      <c r="BB7" s="1019"/>
      <c r="BC7" s="1019"/>
      <c r="BD7" s="1019"/>
      <c r="BE7" s="1019"/>
      <c r="BF7" s="1019"/>
      <c r="BG7" s="1019"/>
      <c r="BH7" s="1019"/>
      <c r="BI7" s="1019"/>
      <c r="BJ7" s="1019"/>
      <c r="BK7" s="1019"/>
      <c r="BL7" s="1019"/>
      <c r="BM7" s="1019"/>
      <c r="BN7" s="1019"/>
      <c r="BO7" s="1019"/>
      <c r="BP7" s="1019"/>
      <c r="BQ7" s="1019"/>
      <c r="BR7" s="1019"/>
      <c r="BS7" s="1019"/>
      <c r="BT7" s="1019"/>
      <c r="BU7" s="1019"/>
      <c r="BV7" s="1019"/>
      <c r="BW7" s="1019"/>
    </row>
    <row r="8" spans="1:75" s="718" customFormat="1" hidden="1">
      <c r="A8" s="687" t="s">
        <v>18</v>
      </c>
      <c r="B8" s="662" t="s">
        <v>18</v>
      </c>
      <c r="C8" s="662"/>
      <c r="D8" s="1349"/>
      <c r="E8" s="686"/>
      <c r="F8" s="686"/>
      <c r="G8" s="686"/>
      <c r="H8" s="686"/>
      <c r="I8" s="686"/>
      <c r="J8" s="686"/>
      <c r="K8" s="686"/>
      <c r="L8" s="686"/>
      <c r="M8" s="686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0"/>
      <c r="Y8" s="680"/>
      <c r="Z8" s="680"/>
      <c r="AA8" s="874"/>
      <c r="AG8" s="1245"/>
      <c r="AH8" s="1245"/>
      <c r="AI8" s="1245"/>
      <c r="AJ8" s="1245"/>
      <c r="AK8" s="1245"/>
      <c r="AL8" s="1036"/>
      <c r="AM8" s="1034"/>
      <c r="AN8" s="1034"/>
      <c r="AO8" s="1034"/>
      <c r="AP8" s="1026"/>
      <c r="AQ8" s="1026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s="840" customFormat="1">
      <c r="A9" s="1485" t="s">
        <v>849</v>
      </c>
      <c r="B9" s="1486"/>
      <c r="C9" s="1486"/>
      <c r="D9" s="1486"/>
      <c r="E9" s="1486"/>
      <c r="F9" s="1486"/>
      <c r="G9" s="1486"/>
      <c r="H9" s="1486"/>
      <c r="I9" s="1486"/>
      <c r="J9" s="1486"/>
      <c r="K9" s="1486"/>
      <c r="L9" s="1486"/>
      <c r="M9" s="1486"/>
      <c r="N9" s="1486"/>
      <c r="O9" s="1486"/>
      <c r="P9" s="1438"/>
      <c r="Q9" s="1438"/>
      <c r="R9" s="1438"/>
      <c r="S9" s="1438"/>
      <c r="T9" s="1438"/>
      <c r="U9" s="1438"/>
      <c r="V9" s="1438"/>
      <c r="W9" s="688"/>
      <c r="X9" s="684"/>
      <c r="Y9" s="684"/>
      <c r="Z9" s="680"/>
      <c r="AA9" s="730"/>
      <c r="AE9" s="841">
        <f>680+1277</f>
        <v>1957</v>
      </c>
      <c r="AG9" s="1186"/>
      <c r="AH9" s="1186"/>
      <c r="AI9" s="1186"/>
      <c r="AJ9" s="1186"/>
      <c r="AK9" s="1186"/>
      <c r="AL9" s="1051"/>
      <c r="AM9" s="1037"/>
      <c r="AN9" s="1037"/>
      <c r="AO9" s="1037"/>
      <c r="AP9" s="1029"/>
      <c r="AQ9" s="1029"/>
      <c r="AR9" s="1020"/>
      <c r="AS9" s="1020"/>
      <c r="AT9" s="1020"/>
      <c r="AU9" s="1020"/>
      <c r="AV9" s="1020"/>
      <c r="AW9" s="1020"/>
      <c r="AX9" s="1020"/>
      <c r="AY9" s="1020"/>
      <c r="AZ9" s="1020"/>
      <c r="BA9" s="1020"/>
      <c r="BB9" s="1020"/>
      <c r="BC9" s="1020"/>
      <c r="BD9" s="1020"/>
      <c r="BE9" s="1020"/>
      <c r="BF9" s="1020"/>
      <c r="BG9" s="1020"/>
      <c r="BH9" s="1020"/>
      <c r="BI9" s="1020"/>
      <c r="BJ9" s="1020"/>
      <c r="BK9" s="1020"/>
      <c r="BL9" s="1020"/>
      <c r="BM9" s="1020"/>
      <c r="BN9" s="1020"/>
      <c r="BO9" s="1020"/>
      <c r="BP9" s="1020"/>
      <c r="BQ9" s="1020"/>
      <c r="BR9" s="1020"/>
      <c r="BS9" s="1020"/>
      <c r="BT9" s="1020"/>
      <c r="BU9" s="1020"/>
      <c r="BV9" s="1020"/>
      <c r="BW9" s="1020"/>
    </row>
    <row r="10" spans="1:75" s="840" customFormat="1" ht="54" hidden="1" customHeight="1" outlineLevel="1">
      <c r="A10" s="668">
        <v>0</v>
      </c>
      <c r="B10" s="1109" t="s">
        <v>809</v>
      </c>
      <c r="C10" s="663">
        <f>H10+K10+N10+Q10+T10</f>
        <v>0</v>
      </c>
      <c r="D10" s="658">
        <f>5043-W10</f>
        <v>5043</v>
      </c>
      <c r="E10" s="663">
        <f t="shared" ref="E10:E15" si="0">F10+G10</f>
        <v>0</v>
      </c>
      <c r="F10" s="663">
        <v>0</v>
      </c>
      <c r="G10" s="663">
        <v>0</v>
      </c>
      <c r="H10" s="663">
        <f t="shared" ref="H10:H18" si="1">I10+J10</f>
        <v>0</v>
      </c>
      <c r="I10" s="663"/>
      <c r="J10" s="663"/>
      <c r="K10" s="663">
        <f t="shared" ref="K10:K12" si="2">L10+M10</f>
        <v>0</v>
      </c>
      <c r="L10" s="663"/>
      <c r="M10" s="663"/>
      <c r="N10" s="661">
        <f>O10+P10</f>
        <v>0</v>
      </c>
      <c r="O10" s="679"/>
      <c r="P10" s="679"/>
      <c r="Q10" s="679"/>
      <c r="R10" s="679"/>
      <c r="S10" s="679"/>
      <c r="T10" s="679"/>
      <c r="U10" s="679"/>
      <c r="V10" s="679"/>
      <c r="W10" s="679">
        <f t="shared" ref="W10:W25" si="3">C10</f>
        <v>0</v>
      </c>
      <c r="X10" s="689"/>
      <c r="Y10" s="689">
        <v>2021</v>
      </c>
      <c r="Z10" s="689"/>
      <c r="AA10" s="730"/>
      <c r="AC10" s="841" t="e">
        <f>#REF!+E10+H10+K10+N10</f>
        <v>#REF!</v>
      </c>
      <c r="AE10" s="841" t="e">
        <f>#REF!+#REF!+#REF!+#REF!+#REF!+#REF!+F13+F14+F15+I13+I14+I15+L13+L14+L15</f>
        <v>#REF!</v>
      </c>
      <c r="AG10" s="1186"/>
      <c r="AH10" s="1186"/>
      <c r="AI10" s="1186"/>
      <c r="AJ10" s="1186"/>
      <c r="AK10" s="1186"/>
      <c r="AL10" s="1051"/>
      <c r="AM10" s="1037"/>
      <c r="AN10" s="1037"/>
      <c r="AO10" s="1037"/>
      <c r="AP10" s="1029"/>
      <c r="AQ10" s="1029"/>
      <c r="AR10" s="1020"/>
      <c r="AS10" s="1020"/>
      <c r="AT10" s="1020"/>
      <c r="AU10" s="1020"/>
      <c r="AV10" s="1020"/>
      <c r="AW10" s="1020"/>
      <c r="AX10" s="1020"/>
      <c r="AY10" s="1020"/>
      <c r="AZ10" s="1020"/>
      <c r="BA10" s="1020"/>
      <c r="BB10" s="1020"/>
      <c r="BC10" s="1020"/>
      <c r="BD10" s="1020"/>
      <c r="BE10" s="1020"/>
      <c r="BF10" s="1020"/>
      <c r="BG10" s="1020"/>
      <c r="BH10" s="1020"/>
      <c r="BI10" s="1020"/>
      <c r="BJ10" s="1020"/>
      <c r="BK10" s="1020"/>
      <c r="BL10" s="1020"/>
      <c r="BM10" s="1020"/>
      <c r="BN10" s="1020"/>
      <c r="BO10" s="1020"/>
      <c r="BP10" s="1020"/>
      <c r="BQ10" s="1020"/>
      <c r="BR10" s="1020"/>
      <c r="BS10" s="1020"/>
      <c r="BT10" s="1020"/>
      <c r="BU10" s="1020"/>
      <c r="BV10" s="1020"/>
      <c r="BW10" s="1020"/>
    </row>
    <row r="11" spans="1:75" s="840" customFormat="1" ht="48" hidden="1" customHeight="1" outlineLevel="1">
      <c r="A11" s="668"/>
      <c r="B11" s="1109" t="s">
        <v>810</v>
      </c>
      <c r="C11" s="663">
        <f t="shared" ref="C11:C18" si="4">H11+K11+N11+Q11+T11</f>
        <v>0</v>
      </c>
      <c r="D11" s="658">
        <f>44047-W11</f>
        <v>44047</v>
      </c>
      <c r="E11" s="663">
        <f t="shared" si="0"/>
        <v>5655</v>
      </c>
      <c r="F11" s="663">
        <v>4579</v>
      </c>
      <c r="G11" s="663">
        <v>1076</v>
      </c>
      <c r="H11" s="663">
        <f t="shared" si="1"/>
        <v>0</v>
      </c>
      <c r="I11" s="663">
        <v>0</v>
      </c>
      <c r="J11" s="663"/>
      <c r="K11" s="663">
        <f t="shared" si="2"/>
        <v>0</v>
      </c>
      <c r="L11" s="663"/>
      <c r="M11" s="663"/>
      <c r="N11" s="661">
        <f t="shared" ref="N11:N61" si="5">O11+P11</f>
        <v>0</v>
      </c>
      <c r="O11" s="679"/>
      <c r="P11" s="679"/>
      <c r="Q11" s="679"/>
      <c r="R11" s="679"/>
      <c r="S11" s="679"/>
      <c r="T11" s="679"/>
      <c r="U11" s="679"/>
      <c r="V11" s="679"/>
      <c r="W11" s="679">
        <f t="shared" si="3"/>
        <v>0</v>
      </c>
      <c r="X11" s="689"/>
      <c r="Y11" s="689">
        <v>2021</v>
      </c>
      <c r="Z11" s="689"/>
      <c r="AA11" s="730"/>
      <c r="AC11" s="841" t="e">
        <f>#REF!+E11+H11+K11+N11</f>
        <v>#REF!</v>
      </c>
      <c r="AD11" s="841" t="e">
        <f>'T1 wodociag 2022-2026'!#REF!+'T1 wodociag 2022-2026'!#REF!</f>
        <v>#REF!</v>
      </c>
      <c r="AE11" s="841" t="e">
        <f>#REF!+#REF!+C10+#REF!+C11+C12</f>
        <v>#REF!</v>
      </c>
      <c r="AF11" s="841" t="e">
        <f>AD11+AE11</f>
        <v>#REF!</v>
      </c>
      <c r="AG11" s="1186">
        <v>5475</v>
      </c>
      <c r="AH11" s="1186">
        <v>5574</v>
      </c>
      <c r="AI11" s="1186"/>
      <c r="AJ11" s="1186">
        <f>AG11-AH11-AI11</f>
        <v>-99</v>
      </c>
      <c r="AK11" s="1186">
        <f>AG11-AH11-AI11</f>
        <v>-99</v>
      </c>
      <c r="AL11" s="1051"/>
      <c r="AM11" s="1037"/>
      <c r="AN11" s="1037"/>
      <c r="AO11" s="1037"/>
      <c r="AP11" s="1029"/>
      <c r="AQ11" s="1029"/>
      <c r="AR11" s="1020"/>
      <c r="AS11" s="1020"/>
      <c r="AT11" s="1020"/>
      <c r="AU11" s="1020"/>
      <c r="AV11" s="1020"/>
      <c r="AW11" s="1020"/>
      <c r="AX11" s="1020"/>
      <c r="AY11" s="1020"/>
      <c r="AZ11" s="1020"/>
      <c r="BA11" s="1020"/>
      <c r="BB11" s="1020"/>
      <c r="BC11" s="1020"/>
      <c r="BD11" s="1020"/>
      <c r="BE11" s="1020"/>
      <c r="BF11" s="1020"/>
      <c r="BG11" s="1020"/>
      <c r="BH11" s="1020"/>
      <c r="BI11" s="1020"/>
      <c r="BJ11" s="1020"/>
      <c r="BK11" s="1020"/>
      <c r="BL11" s="1020"/>
      <c r="BM11" s="1020"/>
      <c r="BN11" s="1020"/>
      <c r="BO11" s="1020"/>
      <c r="BP11" s="1020"/>
      <c r="BQ11" s="1020"/>
      <c r="BR11" s="1020"/>
      <c r="BS11" s="1020"/>
      <c r="BT11" s="1020"/>
      <c r="BU11" s="1020"/>
      <c r="BV11" s="1020"/>
      <c r="BW11" s="1020"/>
    </row>
    <row r="12" spans="1:75" s="840" customFormat="1" ht="75.75" customHeight="1" collapsed="1">
      <c r="A12" s="1185">
        <v>1</v>
      </c>
      <c r="B12" s="695" t="s">
        <v>889</v>
      </c>
      <c r="C12" s="663">
        <f>H12+K12+N12+Q12+T12</f>
        <v>11206</v>
      </c>
      <c r="D12" s="658">
        <v>24528</v>
      </c>
      <c r="E12" s="663">
        <f t="shared" si="0"/>
        <v>15481</v>
      </c>
      <c r="F12" s="1213">
        <f>13059*0+11230</f>
        <v>11230</v>
      </c>
      <c r="G12" s="663">
        <v>4251</v>
      </c>
      <c r="H12" s="663">
        <f t="shared" si="1"/>
        <v>11172</v>
      </c>
      <c r="I12" s="663">
        <f>7495*0+10172+1000</f>
        <v>11172</v>
      </c>
      <c r="J12" s="663"/>
      <c r="K12" s="663">
        <f t="shared" si="2"/>
        <v>34</v>
      </c>
      <c r="L12" s="663">
        <f>34</f>
        <v>34</v>
      </c>
      <c r="M12" s="663"/>
      <c r="N12" s="661">
        <f t="shared" si="5"/>
        <v>0</v>
      </c>
      <c r="O12" s="679"/>
      <c r="P12" s="679"/>
      <c r="Q12" s="679"/>
      <c r="R12" s="679"/>
      <c r="S12" s="679"/>
      <c r="T12" s="679"/>
      <c r="U12" s="679"/>
      <c r="V12" s="679"/>
      <c r="W12" s="663">
        <f t="shared" si="3"/>
        <v>11206</v>
      </c>
      <c r="X12" s="689"/>
      <c r="Y12" s="689">
        <v>2022</v>
      </c>
      <c r="Z12" s="689"/>
      <c r="AA12" s="730"/>
      <c r="AC12" s="841" t="e">
        <f>#REF!+E12+H12+K12+N12</f>
        <v>#REF!</v>
      </c>
      <c r="AE12" s="840">
        <v>182</v>
      </c>
      <c r="AF12" s="841">
        <f>C13+C14+C15</f>
        <v>45900</v>
      </c>
      <c r="AG12" s="1186">
        <v>18321</v>
      </c>
      <c r="AH12" s="1186">
        <f>10713+4287.3+211.75+103.978</f>
        <v>15316</v>
      </c>
      <c r="AI12" s="1186"/>
      <c r="AJ12" s="1186">
        <f t="shared" ref="AJ12:AJ81" si="6">AG12-AH12-AI12</f>
        <v>3005</v>
      </c>
      <c r="AK12" s="1186">
        <f t="shared" ref="AK12:AK80" si="7">AG12-AH12-AI12</f>
        <v>3005</v>
      </c>
      <c r="AL12" s="1051"/>
      <c r="AM12" s="1037"/>
      <c r="AN12" s="1037"/>
      <c r="AO12" s="1037"/>
      <c r="AP12" s="1029"/>
      <c r="AQ12" s="1029"/>
      <c r="AR12" s="1020"/>
      <c r="AS12" s="1020"/>
      <c r="AT12" s="1020"/>
      <c r="AU12" s="1020"/>
      <c r="AV12" s="1020"/>
      <c r="AW12" s="1020"/>
      <c r="AX12" s="1020"/>
      <c r="AY12" s="1020"/>
      <c r="AZ12" s="1020"/>
      <c r="BA12" s="1020"/>
      <c r="BB12" s="1020"/>
      <c r="BC12" s="1020"/>
      <c r="BD12" s="1020"/>
      <c r="BE12" s="1020"/>
      <c r="BF12" s="1020"/>
      <c r="BG12" s="1020"/>
      <c r="BH12" s="1020"/>
      <c r="BI12" s="1020"/>
      <c r="BJ12" s="1020"/>
      <c r="BK12" s="1020"/>
      <c r="BL12" s="1020"/>
      <c r="BM12" s="1020"/>
      <c r="BN12" s="1020"/>
      <c r="BO12" s="1020"/>
      <c r="BP12" s="1020"/>
      <c r="BQ12" s="1020"/>
      <c r="BR12" s="1020"/>
      <c r="BS12" s="1020"/>
      <c r="BT12" s="1020"/>
      <c r="BU12" s="1020"/>
      <c r="BV12" s="1020"/>
      <c r="BW12" s="1020"/>
    </row>
    <row r="13" spans="1:75" s="1055" customFormat="1" ht="42" customHeight="1">
      <c r="A13" s="668">
        <v>2</v>
      </c>
      <c r="B13" s="1357" t="s">
        <v>945</v>
      </c>
      <c r="C13" s="663">
        <f t="shared" si="4"/>
        <v>4150</v>
      </c>
      <c r="D13" s="658"/>
      <c r="E13" s="663">
        <f t="shared" si="0"/>
        <v>0</v>
      </c>
      <c r="F13" s="663"/>
      <c r="G13" s="663"/>
      <c r="H13" s="663">
        <f>I13+J13</f>
        <v>3019</v>
      </c>
      <c r="I13" s="663">
        <v>1098</v>
      </c>
      <c r="J13" s="663">
        <v>1921</v>
      </c>
      <c r="K13" s="663">
        <f>L13+M13</f>
        <v>1131</v>
      </c>
      <c r="L13" s="663">
        <v>583</v>
      </c>
      <c r="M13" s="663">
        <v>548</v>
      </c>
      <c r="N13" s="661">
        <f t="shared" si="5"/>
        <v>0</v>
      </c>
      <c r="O13" s="663"/>
      <c r="P13" s="663"/>
      <c r="Q13" s="663">
        <f>R13+S13</f>
        <v>0</v>
      </c>
      <c r="R13" s="663"/>
      <c r="S13" s="663"/>
      <c r="T13" s="663"/>
      <c r="U13" s="679"/>
      <c r="V13" s="679"/>
      <c r="W13" s="663">
        <f t="shared" si="3"/>
        <v>4150</v>
      </c>
      <c r="X13" s="689"/>
      <c r="Y13" s="689">
        <v>2024</v>
      </c>
      <c r="Z13" s="689"/>
      <c r="AA13" s="1353"/>
      <c r="AB13" s="836">
        <v>105</v>
      </c>
      <c r="AC13" s="1017" t="e">
        <f>#REF!+E13+H13+K13+N13</f>
        <v>#REF!</v>
      </c>
      <c r="AD13" s="836">
        <f>AB13/AB15*100</f>
        <v>59.322033898305101</v>
      </c>
      <c r="AE13" s="1017">
        <f>AE12*AD13%</f>
        <v>108</v>
      </c>
      <c r="AF13" s="1017" t="e">
        <f>AF11+AF12</f>
        <v>#REF!</v>
      </c>
      <c r="AG13" s="1186">
        <v>2125</v>
      </c>
      <c r="AH13" s="1186"/>
      <c r="AI13" s="1186"/>
      <c r="AJ13" s="1186">
        <f t="shared" si="6"/>
        <v>2125</v>
      </c>
      <c r="AK13" s="1186">
        <f t="shared" si="7"/>
        <v>2125</v>
      </c>
      <c r="AL13" s="1056"/>
      <c r="AM13" s="1057"/>
      <c r="AN13" s="1057"/>
      <c r="AO13" s="1057"/>
      <c r="AP13" s="1058"/>
      <c r="AQ13" s="1058"/>
      <c r="AR13" s="1059"/>
      <c r="AS13" s="1059"/>
      <c r="AT13" s="1059"/>
      <c r="AU13" s="1059"/>
      <c r="AV13" s="1059"/>
      <c r="AW13" s="1059"/>
      <c r="AX13" s="1059"/>
      <c r="AY13" s="1059"/>
      <c r="AZ13" s="1059"/>
      <c r="BA13" s="1059"/>
      <c r="BB13" s="1059"/>
      <c r="BC13" s="1059"/>
      <c r="BD13" s="1059"/>
      <c r="BE13" s="1059"/>
      <c r="BF13" s="1059"/>
      <c r="BG13" s="1059"/>
      <c r="BH13" s="1059"/>
      <c r="BI13" s="1059"/>
      <c r="BJ13" s="1059"/>
      <c r="BK13" s="1059"/>
      <c r="BL13" s="1059"/>
      <c r="BM13" s="1059"/>
      <c r="BN13" s="1059"/>
      <c r="BO13" s="1059"/>
      <c r="BP13" s="1059"/>
      <c r="BQ13" s="1059"/>
      <c r="BR13" s="1059"/>
      <c r="BS13" s="1059"/>
      <c r="BT13" s="1059"/>
      <c r="BU13" s="1059"/>
      <c r="BV13" s="1059"/>
      <c r="BW13" s="1059"/>
    </row>
    <row r="14" spans="1:75" s="1055" customFormat="1" ht="26.25" customHeight="1">
      <c r="A14" s="1185">
        <v>3</v>
      </c>
      <c r="B14" s="1357" t="s">
        <v>844</v>
      </c>
      <c r="C14" s="663">
        <f>H14+K14+N14+Q14+T14</f>
        <v>16029</v>
      </c>
      <c r="D14" s="658"/>
      <c r="E14" s="663">
        <f t="shared" si="0"/>
        <v>0</v>
      </c>
      <c r="F14" s="663"/>
      <c r="G14" s="663"/>
      <c r="H14" s="663">
        <f t="shared" si="1"/>
        <v>0</v>
      </c>
      <c r="I14" s="663"/>
      <c r="J14" s="663"/>
      <c r="K14" s="663">
        <f>L14+M14</f>
        <v>7304</v>
      </c>
      <c r="L14" s="663">
        <v>1096</v>
      </c>
      <c r="M14" s="663">
        <v>6208</v>
      </c>
      <c r="N14" s="661">
        <f t="shared" si="5"/>
        <v>7472</v>
      </c>
      <c r="O14" s="663">
        <v>1121</v>
      </c>
      <c r="P14" s="663">
        <v>6351</v>
      </c>
      <c r="Q14" s="663">
        <f t="shared" ref="Q14:Q17" si="8">R14+S14</f>
        <v>1253</v>
      </c>
      <c r="R14" s="663">
        <v>188</v>
      </c>
      <c r="S14" s="663">
        <v>1065</v>
      </c>
      <c r="T14" s="663"/>
      <c r="U14" s="679"/>
      <c r="V14" s="679"/>
      <c r="W14" s="663">
        <f t="shared" si="3"/>
        <v>16029</v>
      </c>
      <c r="X14" s="689"/>
      <c r="Y14" s="689">
        <v>2024</v>
      </c>
      <c r="Z14" s="689"/>
      <c r="AA14" s="1353"/>
      <c r="AB14" s="836">
        <v>72</v>
      </c>
      <c r="AC14" s="1017" t="e">
        <f>#REF!+E14+H14+K14+N14</f>
        <v>#REF!</v>
      </c>
      <c r="AD14" s="836">
        <f>AB14/AB15*100</f>
        <v>40.677966101694899</v>
      </c>
      <c r="AE14" s="1017">
        <f>AE12*AD14%</f>
        <v>74</v>
      </c>
      <c r="AF14" s="836"/>
      <c r="AG14" s="1186">
        <v>6966</v>
      </c>
      <c r="AH14" s="1186"/>
      <c r="AI14" s="1186"/>
      <c r="AJ14" s="1186">
        <f t="shared" si="6"/>
        <v>6966</v>
      </c>
      <c r="AK14" s="1186">
        <f t="shared" si="7"/>
        <v>6966</v>
      </c>
      <c r="AL14" s="1250"/>
      <c r="AM14" s="1251"/>
      <c r="AN14" s="1251"/>
      <c r="AO14" s="1251"/>
      <c r="AP14" s="1252"/>
      <c r="AQ14" s="1252"/>
    </row>
    <row r="15" spans="1:75" s="1055" customFormat="1" ht="27.75" customHeight="1">
      <c r="A15" s="668">
        <v>4</v>
      </c>
      <c r="B15" s="1357" t="s">
        <v>845</v>
      </c>
      <c r="C15" s="663">
        <f t="shared" si="4"/>
        <v>25721</v>
      </c>
      <c r="D15" s="658"/>
      <c r="E15" s="663">
        <f t="shared" si="0"/>
        <v>0</v>
      </c>
      <c r="F15" s="663"/>
      <c r="G15" s="663"/>
      <c r="H15" s="663">
        <f t="shared" si="1"/>
        <v>0</v>
      </c>
      <c r="I15" s="663"/>
      <c r="J15" s="663"/>
      <c r="K15" s="663">
        <f>L15+M15</f>
        <v>11823</v>
      </c>
      <c r="L15" s="663">
        <v>1841</v>
      </c>
      <c r="M15" s="663">
        <v>9982</v>
      </c>
      <c r="N15" s="661">
        <f t="shared" si="5"/>
        <v>11912</v>
      </c>
      <c r="O15" s="663">
        <v>1787</v>
      </c>
      <c r="P15" s="663">
        <v>10125</v>
      </c>
      <c r="Q15" s="663">
        <f t="shared" si="8"/>
        <v>1986</v>
      </c>
      <c r="R15" s="663">
        <v>297</v>
      </c>
      <c r="S15" s="663">
        <v>1689</v>
      </c>
      <c r="T15" s="663"/>
      <c r="U15" s="679"/>
      <c r="V15" s="679"/>
      <c r="W15" s="663">
        <f t="shared" si="3"/>
        <v>25721</v>
      </c>
      <c r="X15" s="689"/>
      <c r="Y15" s="689">
        <v>2024</v>
      </c>
      <c r="Z15" s="689"/>
      <c r="AA15" s="1353"/>
      <c r="AB15" s="836">
        <f>AB13+AB14</f>
        <v>177</v>
      </c>
      <c r="AC15" s="1017" t="e">
        <f>#REF!+E15+H15+K15+N15</f>
        <v>#REF!</v>
      </c>
      <c r="AD15" s="836">
        <f t="shared" ref="AD15:AE15" si="9">AD13+AD14</f>
        <v>100</v>
      </c>
      <c r="AE15" s="836">
        <f t="shared" si="9"/>
        <v>182</v>
      </c>
      <c r="AF15" s="836"/>
      <c r="AG15" s="1186">
        <v>10923</v>
      </c>
      <c r="AH15" s="1186"/>
      <c r="AI15" s="1186"/>
      <c r="AJ15" s="1186">
        <f t="shared" si="6"/>
        <v>10923</v>
      </c>
      <c r="AK15" s="1186"/>
      <c r="AL15" s="1250"/>
      <c r="AM15" s="1251"/>
      <c r="AN15" s="1251"/>
      <c r="AO15" s="1251"/>
      <c r="AP15" s="1252"/>
      <c r="AQ15" s="1252"/>
    </row>
    <row r="16" spans="1:75" s="1055" customFormat="1" ht="20.100000000000001" customHeight="1">
      <c r="A16" s="1185">
        <v>5</v>
      </c>
      <c r="B16" s="695" t="s">
        <v>725</v>
      </c>
      <c r="C16" s="663">
        <f t="shared" si="4"/>
        <v>35000</v>
      </c>
      <c r="D16" s="658"/>
      <c r="E16" s="663"/>
      <c r="F16" s="663"/>
      <c r="G16" s="663"/>
      <c r="H16" s="663"/>
      <c r="I16" s="663"/>
      <c r="J16" s="663"/>
      <c r="K16" s="663"/>
      <c r="L16" s="663"/>
      <c r="M16" s="663"/>
      <c r="N16" s="661">
        <f t="shared" si="5"/>
        <v>10000</v>
      </c>
      <c r="O16" s="661">
        <v>3625</v>
      </c>
      <c r="P16" s="661">
        <v>6375</v>
      </c>
      <c r="Q16" s="663">
        <f t="shared" si="8"/>
        <v>15000</v>
      </c>
      <c r="R16" s="661">
        <v>5438</v>
      </c>
      <c r="S16" s="661">
        <v>9562</v>
      </c>
      <c r="T16" s="663">
        <f>U16+V16</f>
        <v>10000</v>
      </c>
      <c r="U16" s="663">
        <v>10000</v>
      </c>
      <c r="V16" s="663"/>
      <c r="W16" s="663">
        <f t="shared" si="3"/>
        <v>35000</v>
      </c>
      <c r="X16" s="689"/>
      <c r="Y16" s="689"/>
      <c r="Z16" s="689"/>
      <c r="AA16" s="1353"/>
      <c r="AB16" s="836"/>
      <c r="AC16" s="1017"/>
      <c r="AD16" s="836"/>
      <c r="AE16" s="836"/>
      <c r="AF16" s="836"/>
      <c r="AG16" s="1186"/>
      <c r="AH16" s="1186"/>
      <c r="AI16" s="1186"/>
      <c r="AJ16" s="1186"/>
      <c r="AK16" s="1186"/>
      <c r="AL16" s="1250"/>
      <c r="AM16" s="1251"/>
      <c r="AN16" s="1251"/>
      <c r="AO16" s="1251"/>
      <c r="AP16" s="1252"/>
      <c r="AQ16" s="1252"/>
    </row>
    <row r="17" spans="1:75" s="1055" customFormat="1" ht="20.100000000000001" customHeight="1">
      <c r="A17" s="668">
        <v>6</v>
      </c>
      <c r="B17" s="694" t="s">
        <v>726</v>
      </c>
      <c r="C17" s="663">
        <f t="shared" si="4"/>
        <v>7000</v>
      </c>
      <c r="D17" s="658"/>
      <c r="E17" s="663"/>
      <c r="F17" s="663"/>
      <c r="G17" s="663"/>
      <c r="H17" s="663"/>
      <c r="I17" s="663"/>
      <c r="J17" s="663"/>
      <c r="K17" s="663"/>
      <c r="L17" s="663"/>
      <c r="M17" s="663"/>
      <c r="N17" s="661">
        <f t="shared" si="5"/>
        <v>0</v>
      </c>
      <c r="O17" s="663"/>
      <c r="P17" s="663"/>
      <c r="Q17" s="663">
        <f t="shared" si="8"/>
        <v>3500</v>
      </c>
      <c r="R17" s="661">
        <v>1625</v>
      </c>
      <c r="S17" s="661">
        <v>1875</v>
      </c>
      <c r="T17" s="663">
        <f>U17+V17</f>
        <v>3500</v>
      </c>
      <c r="U17" s="663">
        <v>3500</v>
      </c>
      <c r="V17" s="663"/>
      <c r="W17" s="663">
        <f t="shared" si="3"/>
        <v>7000</v>
      </c>
      <c r="X17" s="689"/>
      <c r="Y17" s="689"/>
      <c r="Z17" s="689"/>
      <c r="AA17" s="1353"/>
      <c r="AB17" s="836"/>
      <c r="AC17" s="1017"/>
      <c r="AD17" s="836"/>
      <c r="AE17" s="836"/>
      <c r="AF17" s="836"/>
      <c r="AG17" s="1186"/>
      <c r="AH17" s="1186"/>
      <c r="AI17" s="1186"/>
      <c r="AJ17" s="1186"/>
      <c r="AK17" s="1186"/>
      <c r="AL17" s="1250"/>
      <c r="AM17" s="1251"/>
      <c r="AN17" s="1251"/>
      <c r="AO17" s="1251"/>
      <c r="AP17" s="1252"/>
      <c r="AQ17" s="1252"/>
    </row>
    <row r="18" spans="1:75" s="836" customFormat="1" ht="20.100000000000001" customHeight="1">
      <c r="A18" s="1481" t="s">
        <v>121</v>
      </c>
      <c r="B18" s="1482"/>
      <c r="C18" s="663">
        <f t="shared" si="4"/>
        <v>99106</v>
      </c>
      <c r="D18" s="657">
        <f>D12</f>
        <v>24528</v>
      </c>
      <c r="E18" s="679">
        <f>F18+G18</f>
        <v>21136</v>
      </c>
      <c r="F18" s="679">
        <f>SUM(F10:F17)</f>
        <v>15809</v>
      </c>
      <c r="G18" s="679">
        <f>SUM(G10:G17)</f>
        <v>5327</v>
      </c>
      <c r="H18" s="679">
        <f t="shared" si="1"/>
        <v>14191</v>
      </c>
      <c r="I18" s="679">
        <f>SUM(I10:I17)</f>
        <v>12270</v>
      </c>
      <c r="J18" s="679">
        <f>SUM(J10:J17)</f>
        <v>1921</v>
      </c>
      <c r="K18" s="679">
        <f>L18+M18</f>
        <v>20292</v>
      </c>
      <c r="L18" s="679">
        <f>SUM(L10:L17)</f>
        <v>3554</v>
      </c>
      <c r="M18" s="679">
        <f>SUM(M10:M17)</f>
        <v>16738</v>
      </c>
      <c r="N18" s="681">
        <f t="shared" si="5"/>
        <v>29384</v>
      </c>
      <c r="O18" s="679">
        <f>SUM(O10:O17)</f>
        <v>6533</v>
      </c>
      <c r="P18" s="679">
        <f>SUM(P10:P17)</f>
        <v>22851</v>
      </c>
      <c r="Q18" s="679">
        <f>R18+S18</f>
        <v>21739</v>
      </c>
      <c r="R18" s="679">
        <f>SUM(R10:R17)</f>
        <v>7548</v>
      </c>
      <c r="S18" s="679">
        <f>SUM(S10:S17)</f>
        <v>14191</v>
      </c>
      <c r="T18" s="679">
        <f>U18+V18</f>
        <v>13500</v>
      </c>
      <c r="U18" s="679">
        <f>SUM(U10:U17)</f>
        <v>13500</v>
      </c>
      <c r="V18" s="679">
        <f>SUM(V10:V17)</f>
        <v>0</v>
      </c>
      <c r="W18" s="679">
        <f t="shared" si="3"/>
        <v>99106</v>
      </c>
      <c r="X18" s="691"/>
      <c r="Y18" s="761">
        <f>SUM(Y10:Y12)</f>
        <v>6064</v>
      </c>
      <c r="Z18" s="744">
        <f>SUM(Z10:Z11)</f>
        <v>0</v>
      </c>
      <c r="AA18" s="1353"/>
      <c r="AC18" s="841" t="e">
        <f>#REF!+E18+H18+K18+N18</f>
        <v>#REF!</v>
      </c>
      <c r="AF18" s="836" t="s">
        <v>680</v>
      </c>
      <c r="AG18" s="1186"/>
      <c r="AH18" s="1186"/>
      <c r="AI18" s="1186"/>
      <c r="AJ18" s="1186">
        <f t="shared" si="6"/>
        <v>0</v>
      </c>
      <c r="AK18" s="1186"/>
      <c r="AL18" s="1051"/>
      <c r="AM18" s="1037"/>
      <c r="AN18" s="1037"/>
      <c r="AO18" s="1037"/>
      <c r="AP18" s="1029"/>
      <c r="AQ18" s="1030"/>
      <c r="AR18" s="1021"/>
      <c r="AS18" s="1021"/>
      <c r="AT18" s="1021"/>
      <c r="AU18" s="1021"/>
      <c r="AV18" s="1021"/>
      <c r="AW18" s="1021"/>
      <c r="AX18" s="1021"/>
      <c r="AY18" s="1021"/>
      <c r="AZ18" s="1021"/>
      <c r="BA18" s="1021"/>
      <c r="BB18" s="1021"/>
      <c r="BC18" s="1021"/>
      <c r="BD18" s="1021"/>
      <c r="BE18" s="1021"/>
      <c r="BF18" s="1021"/>
      <c r="BG18" s="1021"/>
      <c r="BH18" s="1021"/>
      <c r="BI18" s="1021"/>
      <c r="BJ18" s="1021"/>
      <c r="BK18" s="1021"/>
      <c r="BL18" s="1021"/>
      <c r="BM18" s="1021"/>
      <c r="BN18" s="1021"/>
      <c r="BO18" s="1021"/>
      <c r="BP18" s="1021"/>
      <c r="BQ18" s="1021"/>
      <c r="BR18" s="1021"/>
      <c r="BS18" s="1021"/>
      <c r="BT18" s="1021"/>
      <c r="BU18" s="1021"/>
      <c r="BV18" s="1021"/>
      <c r="BW18" s="1021"/>
    </row>
    <row r="19" spans="1:75" s="731" customFormat="1">
      <c r="A19" s="1483" t="s">
        <v>166</v>
      </c>
      <c r="B19" s="1484"/>
      <c r="C19" s="1484"/>
      <c r="D19" s="1484"/>
      <c r="E19" s="1484"/>
      <c r="F19" s="1484"/>
      <c r="G19" s="1484"/>
      <c r="H19" s="1484"/>
      <c r="I19" s="1484"/>
      <c r="J19" s="1484"/>
      <c r="K19" s="1484"/>
      <c r="L19" s="1484"/>
      <c r="M19" s="1484"/>
      <c r="N19" s="1442"/>
      <c r="O19" s="1442"/>
      <c r="P19" s="1442"/>
      <c r="Q19" s="1442"/>
      <c r="R19" s="1442"/>
      <c r="S19" s="1442"/>
      <c r="T19" s="1442"/>
      <c r="U19" s="1442"/>
      <c r="V19" s="1442"/>
      <c r="W19" s="1016">
        <f t="shared" si="3"/>
        <v>0</v>
      </c>
      <c r="X19" s="692"/>
      <c r="Y19" s="692"/>
      <c r="Z19" s="680"/>
      <c r="AA19" s="731" t="s">
        <v>352</v>
      </c>
      <c r="AC19" s="841" t="e">
        <f>#REF!+E19+H19+K19+N19</f>
        <v>#REF!</v>
      </c>
      <c r="AG19" s="1186"/>
      <c r="AH19" s="1186"/>
      <c r="AI19" s="1186"/>
      <c r="AJ19" s="1186">
        <f t="shared" si="6"/>
        <v>0</v>
      </c>
      <c r="AK19" s="1186"/>
      <c r="AL19" s="1051"/>
      <c r="AM19" s="1037"/>
      <c r="AN19" s="1037"/>
      <c r="AO19" s="1037"/>
      <c r="AP19" s="1022"/>
      <c r="AQ19" s="1022"/>
      <c r="AR19" s="1022"/>
      <c r="AS19" s="1022"/>
      <c r="AT19" s="1022"/>
      <c r="AU19" s="1022"/>
      <c r="AV19" s="1022"/>
      <c r="AW19" s="1022"/>
      <c r="AX19" s="1022"/>
      <c r="AY19" s="1022"/>
      <c r="AZ19" s="1022"/>
      <c r="BA19" s="1022"/>
      <c r="BB19" s="1022"/>
      <c r="BC19" s="1022"/>
      <c r="BD19" s="1022"/>
      <c r="BE19" s="1022"/>
      <c r="BF19" s="1022"/>
      <c r="BG19" s="1022"/>
      <c r="BH19" s="1022"/>
      <c r="BI19" s="1022"/>
      <c r="BJ19" s="1022"/>
      <c r="BK19" s="1022"/>
      <c r="BL19" s="1022"/>
      <c r="BM19" s="1022"/>
      <c r="BN19" s="1022"/>
      <c r="BO19" s="1022"/>
      <c r="BP19" s="1022"/>
      <c r="BQ19" s="1022"/>
      <c r="BR19" s="1022"/>
      <c r="BS19" s="1022"/>
      <c r="BT19" s="1022"/>
      <c r="BU19" s="1022"/>
      <c r="BV19" s="1022"/>
      <c r="BW19" s="1022"/>
    </row>
    <row r="20" spans="1:75" ht="39" customHeight="1">
      <c r="A20" s="875">
        <v>7</v>
      </c>
      <c r="B20" s="678" t="s">
        <v>1006</v>
      </c>
      <c r="C20" s="663">
        <f>H20+K20+N20+Q20+T20</f>
        <v>2630</v>
      </c>
      <c r="D20" s="852">
        <v>851</v>
      </c>
      <c r="E20" s="661">
        <f t="shared" ref="E20:E30" si="10">F20+G20</f>
        <v>880</v>
      </c>
      <c r="F20" s="661">
        <v>880</v>
      </c>
      <c r="G20" s="661"/>
      <c r="H20" s="661">
        <f t="shared" ref="H20:H21" si="11">I20+J20</f>
        <v>2100</v>
      </c>
      <c r="I20" s="661">
        <v>2100</v>
      </c>
      <c r="J20" s="661"/>
      <c r="K20" s="661">
        <f>L20+M20</f>
        <v>530</v>
      </c>
      <c r="L20" s="661">
        <v>530</v>
      </c>
      <c r="M20" s="661"/>
      <c r="N20" s="661">
        <f t="shared" si="5"/>
        <v>0</v>
      </c>
      <c r="O20" s="681"/>
      <c r="P20" s="681"/>
      <c r="Q20" s="661"/>
      <c r="R20" s="661"/>
      <c r="S20" s="661"/>
      <c r="T20" s="661"/>
      <c r="U20" s="661"/>
      <c r="V20" s="661"/>
      <c r="W20" s="663">
        <f t="shared" si="3"/>
        <v>2630</v>
      </c>
      <c r="X20" s="680"/>
      <c r="Y20" s="680"/>
      <c r="Z20" s="680"/>
      <c r="AA20" s="1354"/>
      <c r="AC20" s="841" t="e">
        <f>#REF!+E20+H20+K20+N20</f>
        <v>#REF!</v>
      </c>
      <c r="AE20" s="842" t="e">
        <f>C18+'T1 wodociag 2022-2026'!#REF!</f>
        <v>#REF!</v>
      </c>
      <c r="AF20" s="664" t="e">
        <f>#REF!+#REF!</f>
        <v>#REF!</v>
      </c>
      <c r="AG20" s="1186">
        <v>2200</v>
      </c>
      <c r="AH20" s="1186">
        <f>1100-220</f>
        <v>880</v>
      </c>
      <c r="AI20" s="1186">
        <v>200</v>
      </c>
      <c r="AJ20" s="1186">
        <f t="shared" si="6"/>
        <v>1120</v>
      </c>
      <c r="AK20" s="1186"/>
      <c r="AM20" s="1061"/>
    </row>
    <row r="21" spans="1:75" ht="27.75" customHeight="1">
      <c r="A21" s="875">
        <v>8</v>
      </c>
      <c r="B21" s="695" t="s">
        <v>838</v>
      </c>
      <c r="C21" s="663">
        <f t="shared" ref="C21:C61" si="12">H21+K21+N21+Q21+T21</f>
        <v>2500</v>
      </c>
      <c r="D21" s="852">
        <v>625</v>
      </c>
      <c r="E21" s="661">
        <f t="shared" si="10"/>
        <v>700</v>
      </c>
      <c r="F21" s="661">
        <v>700</v>
      </c>
      <c r="G21" s="661"/>
      <c r="H21" s="661">
        <f t="shared" si="11"/>
        <v>900</v>
      </c>
      <c r="I21" s="661">
        <v>900</v>
      </c>
      <c r="J21" s="661"/>
      <c r="K21" s="661">
        <f>L21+M21</f>
        <v>1600</v>
      </c>
      <c r="L21" s="661">
        <v>1600</v>
      </c>
      <c r="M21" s="661"/>
      <c r="N21" s="661"/>
      <c r="O21" s="681"/>
      <c r="P21" s="681"/>
      <c r="Q21" s="661"/>
      <c r="R21" s="661"/>
      <c r="S21" s="661"/>
      <c r="T21" s="661"/>
      <c r="U21" s="661"/>
      <c r="V21" s="661"/>
      <c r="W21" s="663">
        <f t="shared" si="3"/>
        <v>2500</v>
      </c>
      <c r="X21" s="680"/>
      <c r="Y21" s="680"/>
      <c r="Z21" s="680"/>
      <c r="AA21" s="1354"/>
      <c r="AC21" s="841"/>
      <c r="AE21" s="842"/>
      <c r="AG21" s="1186">
        <v>1600</v>
      </c>
      <c r="AH21" s="1186">
        <v>200</v>
      </c>
      <c r="AI21" s="1186">
        <v>0</v>
      </c>
      <c r="AJ21" s="1186">
        <f t="shared" si="6"/>
        <v>1400</v>
      </c>
      <c r="AK21" s="1186"/>
      <c r="AM21" s="1061"/>
    </row>
    <row r="22" spans="1:75" s="999" customFormat="1" ht="42" customHeight="1">
      <c r="A22" s="875">
        <v>9</v>
      </c>
      <c r="B22" s="695" t="s">
        <v>823</v>
      </c>
      <c r="C22" s="663">
        <f t="shared" si="12"/>
        <v>4745</v>
      </c>
      <c r="D22" s="852"/>
      <c r="E22" s="661">
        <f t="shared" si="10"/>
        <v>0</v>
      </c>
      <c r="F22" s="661">
        <f>800*0</f>
        <v>0</v>
      </c>
      <c r="G22" s="661"/>
      <c r="H22" s="661">
        <f t="shared" ref="H22:H34" si="13">I22+J22</f>
        <v>730</v>
      </c>
      <c r="I22" s="661">
        <v>730</v>
      </c>
      <c r="J22" s="661"/>
      <c r="K22" s="661">
        <f t="shared" ref="K22:K28" si="14">L22+M22</f>
        <v>850</v>
      </c>
      <c r="L22" s="661">
        <v>850</v>
      </c>
      <c r="M22" s="661"/>
      <c r="N22" s="661">
        <f t="shared" si="5"/>
        <v>1265</v>
      </c>
      <c r="O22" s="661">
        <v>1265</v>
      </c>
      <c r="P22" s="681"/>
      <c r="Q22" s="661">
        <f>R22+S22</f>
        <v>1200</v>
      </c>
      <c r="R22" s="661">
        <v>1200</v>
      </c>
      <c r="S22" s="661"/>
      <c r="T22" s="661">
        <f>U22+V22</f>
        <v>700</v>
      </c>
      <c r="U22" s="661">
        <v>700</v>
      </c>
      <c r="V22" s="661"/>
      <c r="W22" s="663">
        <f t="shared" si="3"/>
        <v>4745</v>
      </c>
      <c r="X22" s="680"/>
      <c r="Y22" s="680"/>
      <c r="Z22" s="680"/>
      <c r="AA22" s="1354"/>
      <c r="AB22" s="664">
        <v>13275</v>
      </c>
      <c r="AC22" s="841" t="e">
        <f>#REF!+E22+H22+K22+N22</f>
        <v>#REF!</v>
      </c>
      <c r="AD22" s="664" t="e">
        <f>AB22/#REF!*100</f>
        <v>#REF!</v>
      </c>
      <c r="AE22" s="842" t="e">
        <f>12039*AD22%</f>
        <v>#REF!</v>
      </c>
      <c r="AF22" s="664"/>
      <c r="AG22" s="1186"/>
      <c r="AH22" s="1186"/>
      <c r="AI22" s="1186"/>
      <c r="AJ22" s="1186">
        <f t="shared" si="6"/>
        <v>0</v>
      </c>
      <c r="AK22" s="1186"/>
      <c r="AL22" s="1051"/>
      <c r="AM22" s="1061"/>
      <c r="AN22" s="1035"/>
      <c r="AO22" s="1035"/>
      <c r="AP22" s="1027"/>
      <c r="AQ22" s="1027"/>
      <c r="AR22" s="1018"/>
      <c r="AS22" s="1018"/>
      <c r="AT22" s="1018"/>
      <c r="AU22" s="1018"/>
      <c r="AV22" s="1018"/>
      <c r="AW22" s="1018"/>
      <c r="AX22" s="1018"/>
      <c r="AY22" s="1018"/>
      <c r="AZ22" s="1018"/>
      <c r="BA22" s="1018"/>
      <c r="BB22" s="1018"/>
      <c r="BC22" s="1018"/>
      <c r="BD22" s="1018"/>
      <c r="BE22" s="1018"/>
      <c r="BF22" s="1018"/>
      <c r="BG22" s="1018"/>
      <c r="BH22" s="1018"/>
      <c r="BI22" s="1018"/>
      <c r="BJ22" s="1018"/>
      <c r="BK22" s="1018"/>
      <c r="BL22" s="1018"/>
      <c r="BM22" s="1018"/>
      <c r="BN22" s="1018"/>
      <c r="BO22" s="1018"/>
      <c r="BP22" s="1018"/>
      <c r="BQ22" s="1018"/>
      <c r="BR22" s="1018"/>
      <c r="BS22" s="1018"/>
      <c r="BT22" s="1018"/>
      <c r="BU22" s="1018"/>
      <c r="BV22" s="1018"/>
      <c r="BW22" s="1018"/>
    </row>
    <row r="23" spans="1:75" ht="27.75" customHeight="1">
      <c r="A23" s="875">
        <v>10</v>
      </c>
      <c r="B23" s="695" t="s">
        <v>967</v>
      </c>
      <c r="C23" s="663">
        <f t="shared" si="12"/>
        <v>850</v>
      </c>
      <c r="D23" s="852"/>
      <c r="E23" s="661"/>
      <c r="F23" s="661"/>
      <c r="G23" s="661"/>
      <c r="H23" s="661"/>
      <c r="I23" s="661"/>
      <c r="J23" s="661"/>
      <c r="K23" s="661">
        <f t="shared" si="14"/>
        <v>0</v>
      </c>
      <c r="L23" s="661">
        <v>0</v>
      </c>
      <c r="M23" s="661"/>
      <c r="N23" s="661">
        <f t="shared" si="5"/>
        <v>0</v>
      </c>
      <c r="O23" s="681">
        <v>0</v>
      </c>
      <c r="P23" s="681"/>
      <c r="Q23" s="661">
        <f>R23</f>
        <v>850</v>
      </c>
      <c r="R23" s="661">
        <v>850</v>
      </c>
      <c r="S23" s="661"/>
      <c r="T23" s="661"/>
      <c r="U23" s="661"/>
      <c r="V23" s="661"/>
      <c r="W23" s="663">
        <f t="shared" si="3"/>
        <v>850</v>
      </c>
      <c r="X23" s="680"/>
      <c r="Y23" s="680"/>
      <c r="Z23" s="680"/>
      <c r="AA23" s="1354"/>
      <c r="AC23" s="841"/>
      <c r="AE23" s="842"/>
      <c r="AG23" s="1186"/>
      <c r="AH23" s="1186"/>
      <c r="AI23" s="1186"/>
      <c r="AJ23" s="1186">
        <f t="shared" si="6"/>
        <v>0</v>
      </c>
      <c r="AK23" s="1186"/>
      <c r="AM23" s="1061"/>
    </row>
    <row r="24" spans="1:75" ht="27" hidden="1" customHeight="1" outlineLevel="1">
      <c r="A24" s="875"/>
      <c r="B24" s="678"/>
      <c r="C24" s="663">
        <f t="shared" si="12"/>
        <v>0</v>
      </c>
      <c r="D24" s="852"/>
      <c r="E24" s="661">
        <f t="shared" si="10"/>
        <v>650</v>
      </c>
      <c r="F24" s="661">
        <v>650</v>
      </c>
      <c r="G24" s="661"/>
      <c r="H24" s="661">
        <f t="shared" si="13"/>
        <v>0</v>
      </c>
      <c r="I24" s="661"/>
      <c r="J24" s="661"/>
      <c r="K24" s="661">
        <f t="shared" si="14"/>
        <v>0</v>
      </c>
      <c r="L24" s="661"/>
      <c r="M24" s="661"/>
      <c r="N24" s="661">
        <f t="shared" si="5"/>
        <v>0</v>
      </c>
      <c r="O24" s="681"/>
      <c r="P24" s="681"/>
      <c r="Q24" s="661"/>
      <c r="R24" s="661"/>
      <c r="S24" s="661"/>
      <c r="T24" s="661"/>
      <c r="U24" s="661"/>
      <c r="V24" s="661"/>
      <c r="W24" s="663">
        <f t="shared" si="3"/>
        <v>0</v>
      </c>
      <c r="X24" s="680"/>
      <c r="Y24" s="680"/>
      <c r="Z24" s="680"/>
      <c r="AA24" s="1354"/>
      <c r="AC24" s="841" t="e">
        <f>#REF!+E24+H24+K24+N24</f>
        <v>#REF!</v>
      </c>
      <c r="AG24" s="1186">
        <v>800</v>
      </c>
      <c r="AH24" s="1186">
        <f>950-300</f>
        <v>650</v>
      </c>
      <c r="AI24" s="1186">
        <v>0</v>
      </c>
      <c r="AJ24" s="1186">
        <f t="shared" si="6"/>
        <v>150</v>
      </c>
      <c r="AK24" s="1186"/>
      <c r="AM24" s="1061"/>
    </row>
    <row r="25" spans="1:75" ht="29.25" customHeight="1" collapsed="1">
      <c r="A25" s="875">
        <v>11</v>
      </c>
      <c r="B25" s="678" t="s">
        <v>924</v>
      </c>
      <c r="C25" s="663">
        <f t="shared" si="12"/>
        <v>1050</v>
      </c>
      <c r="D25" s="852">
        <v>267</v>
      </c>
      <c r="E25" s="661">
        <f t="shared" si="10"/>
        <v>405</v>
      </c>
      <c r="F25" s="661">
        <v>405</v>
      </c>
      <c r="G25" s="661"/>
      <c r="H25" s="661">
        <f t="shared" si="13"/>
        <v>1050</v>
      </c>
      <c r="I25" s="661">
        <v>1050</v>
      </c>
      <c r="J25" s="661"/>
      <c r="K25" s="661"/>
      <c r="L25" s="661"/>
      <c r="M25" s="661"/>
      <c r="N25" s="661"/>
      <c r="O25" s="681"/>
      <c r="P25" s="681"/>
      <c r="Q25" s="661"/>
      <c r="R25" s="661"/>
      <c r="S25" s="661"/>
      <c r="T25" s="661"/>
      <c r="U25" s="661"/>
      <c r="V25" s="661"/>
      <c r="W25" s="663">
        <f t="shared" si="3"/>
        <v>1050</v>
      </c>
      <c r="X25" s="680"/>
      <c r="Y25" s="680"/>
      <c r="Z25" s="680"/>
      <c r="AA25" s="1354"/>
      <c r="AC25" s="841"/>
      <c r="AG25" s="1186">
        <v>700</v>
      </c>
      <c r="AH25" s="1186">
        <f>350/2</f>
        <v>175</v>
      </c>
      <c r="AI25" s="1186">
        <v>0</v>
      </c>
      <c r="AJ25" s="1186">
        <f t="shared" si="6"/>
        <v>525</v>
      </c>
      <c r="AK25" s="1186"/>
      <c r="AM25" s="1061"/>
    </row>
    <row r="26" spans="1:75" s="1425" customFormat="1" ht="69.75" customHeight="1">
      <c r="A26" s="1421">
        <v>12</v>
      </c>
      <c r="B26" s="1424" t="s">
        <v>925</v>
      </c>
      <c r="C26" s="663">
        <f t="shared" si="12"/>
        <v>25470</v>
      </c>
      <c r="D26" s="852">
        <f>D27+D37+D40+D47</f>
        <v>1106</v>
      </c>
      <c r="E26" s="661">
        <f>F26+G26</f>
        <v>2510</v>
      </c>
      <c r="F26" s="660">
        <f>SUM(F27:F60)</f>
        <v>2510</v>
      </c>
      <c r="G26" s="660">
        <f>SUM(G27:G60)</f>
        <v>0</v>
      </c>
      <c r="H26" s="660">
        <f t="shared" si="13"/>
        <v>5080</v>
      </c>
      <c r="I26" s="660">
        <f>SUM(I27:I60)</f>
        <v>5080</v>
      </c>
      <c r="J26" s="660">
        <f>SUM(J27:J60)</f>
        <v>0</v>
      </c>
      <c r="K26" s="660">
        <f t="shared" si="14"/>
        <v>5340</v>
      </c>
      <c r="L26" s="660">
        <f>SUM(L27:L60)</f>
        <v>5340</v>
      </c>
      <c r="M26" s="660">
        <f>SUM(M27:M60)</f>
        <v>0</v>
      </c>
      <c r="N26" s="661">
        <f t="shared" si="5"/>
        <v>2100</v>
      </c>
      <c r="O26" s="660">
        <f>SUM(O27:O60)</f>
        <v>2100</v>
      </c>
      <c r="P26" s="660">
        <f>SUM(P27:P60)</f>
        <v>0</v>
      </c>
      <c r="Q26" s="660">
        <f>R26+S26</f>
        <v>5500</v>
      </c>
      <c r="R26" s="660">
        <f>SUM(R27:R60)</f>
        <v>5500</v>
      </c>
      <c r="S26" s="660">
        <f>SUM(S27:S60)</f>
        <v>0</v>
      </c>
      <c r="T26" s="660">
        <f>U26+V26</f>
        <v>7450</v>
      </c>
      <c r="U26" s="660">
        <f>SUM(U27:U60)</f>
        <v>7450</v>
      </c>
      <c r="V26" s="660">
        <f>SUM(V27:V60)</f>
        <v>0</v>
      </c>
      <c r="W26" s="663">
        <f t="shared" ref="W26:W63" si="15">C26</f>
        <v>25470</v>
      </c>
      <c r="X26" s="689"/>
      <c r="Y26" s="689"/>
      <c r="Z26" s="689"/>
      <c r="AA26" s="732"/>
      <c r="AC26" s="1426" t="e">
        <f>#REF!+E26+H26+K26+N26</f>
        <v>#REF!</v>
      </c>
      <c r="AG26" s="1186"/>
      <c r="AH26" s="1186"/>
      <c r="AI26" s="1186"/>
      <c r="AJ26" s="1186">
        <f t="shared" si="6"/>
        <v>0</v>
      </c>
      <c r="AK26" s="1186"/>
      <c r="AL26" s="1051"/>
      <c r="AM26" s="1427"/>
      <c r="AN26" s="1051"/>
      <c r="AO26" s="1051"/>
      <c r="AP26" s="1428"/>
      <c r="AQ26" s="1428"/>
      <c r="AR26" s="1429"/>
      <c r="AS26" s="1429"/>
      <c r="AT26" s="1429"/>
      <c r="AU26" s="1429"/>
      <c r="AV26" s="1429"/>
      <c r="AW26" s="1429"/>
      <c r="AX26" s="1429"/>
      <c r="AY26" s="1429"/>
      <c r="AZ26" s="1429"/>
      <c r="BA26" s="1429"/>
      <c r="BB26" s="1429"/>
      <c r="BC26" s="1429"/>
      <c r="BD26" s="1429"/>
      <c r="BE26" s="1429"/>
      <c r="BF26" s="1429"/>
      <c r="BG26" s="1429"/>
      <c r="BH26" s="1429"/>
      <c r="BI26" s="1429"/>
      <c r="BJ26" s="1429"/>
      <c r="BK26" s="1429"/>
      <c r="BL26" s="1429"/>
      <c r="BM26" s="1429"/>
      <c r="BN26" s="1429"/>
      <c r="BO26" s="1429"/>
      <c r="BP26" s="1429"/>
      <c r="BQ26" s="1429"/>
      <c r="BR26" s="1429"/>
      <c r="BS26" s="1429"/>
      <c r="BT26" s="1429"/>
      <c r="BU26" s="1429"/>
      <c r="BV26" s="1429"/>
      <c r="BW26" s="1429"/>
    </row>
    <row r="27" spans="1:75" s="950" customFormat="1" ht="20.100000000000001" hidden="1" customHeight="1">
      <c r="A27" s="835" t="s">
        <v>743</v>
      </c>
      <c r="B27" s="678" t="s">
        <v>686</v>
      </c>
      <c r="C27" s="663">
        <f t="shared" si="12"/>
        <v>360</v>
      </c>
      <c r="D27" s="852">
        <v>303</v>
      </c>
      <c r="E27" s="661">
        <f t="shared" si="10"/>
        <v>10</v>
      </c>
      <c r="F27" s="660">
        <v>10</v>
      </c>
      <c r="G27" s="661"/>
      <c r="H27" s="660">
        <f t="shared" si="13"/>
        <v>360</v>
      </c>
      <c r="I27" s="661">
        <v>360</v>
      </c>
      <c r="J27" s="661"/>
      <c r="K27" s="660">
        <f t="shared" si="14"/>
        <v>0</v>
      </c>
      <c r="L27" s="661"/>
      <c r="M27" s="661"/>
      <c r="N27" s="661">
        <f t="shared" si="5"/>
        <v>0</v>
      </c>
      <c r="O27" s="820"/>
      <c r="P27" s="820"/>
      <c r="Q27" s="820"/>
      <c r="R27" s="820"/>
      <c r="S27" s="820"/>
      <c r="T27" s="820"/>
      <c r="U27" s="820"/>
      <c r="V27" s="820"/>
      <c r="W27" s="679">
        <f t="shared" si="15"/>
        <v>360</v>
      </c>
      <c r="X27" s="680"/>
      <c r="Y27" s="680"/>
      <c r="Z27" s="680"/>
      <c r="AA27" s="1354"/>
      <c r="AB27" s="664"/>
      <c r="AC27" s="841" t="e">
        <f>#REF!+E27+H27+K27+N27</f>
        <v>#REF!</v>
      </c>
      <c r="AD27" s="664"/>
      <c r="AE27" s="664"/>
      <c r="AF27" s="664"/>
      <c r="AG27" s="1186">
        <v>300</v>
      </c>
      <c r="AH27" s="1186">
        <v>10</v>
      </c>
      <c r="AI27" s="1186">
        <v>0</v>
      </c>
      <c r="AJ27" s="1186">
        <f t="shared" si="6"/>
        <v>290</v>
      </c>
      <c r="AK27" s="1186"/>
      <c r="AL27" s="1051"/>
      <c r="AM27" s="1061"/>
      <c r="AN27" s="1035"/>
      <c r="AO27" s="1035"/>
      <c r="AP27" s="1027"/>
      <c r="AQ27" s="1031"/>
      <c r="AR27" s="1023"/>
      <c r="AS27" s="1023"/>
      <c r="AT27" s="1023"/>
      <c r="AU27" s="1023"/>
      <c r="AV27" s="1023"/>
      <c r="AW27" s="1023"/>
      <c r="AX27" s="1023"/>
      <c r="AY27" s="1023"/>
      <c r="AZ27" s="1023"/>
      <c r="BA27" s="1023"/>
      <c r="BB27" s="1023"/>
      <c r="BC27" s="1023"/>
      <c r="BD27" s="1023"/>
      <c r="BE27" s="1023"/>
      <c r="BF27" s="1023"/>
      <c r="BG27" s="1023"/>
      <c r="BH27" s="1023"/>
      <c r="BI27" s="1023"/>
      <c r="BJ27" s="1023"/>
      <c r="BK27" s="1023"/>
      <c r="BL27" s="1023"/>
      <c r="BM27" s="1023"/>
      <c r="BN27" s="1023"/>
      <c r="BO27" s="1023"/>
      <c r="BP27" s="1023"/>
      <c r="BQ27" s="1023"/>
      <c r="BR27" s="1023"/>
      <c r="BS27" s="1023"/>
      <c r="BT27" s="1023"/>
      <c r="BU27" s="1023"/>
      <c r="BV27" s="1023"/>
      <c r="BW27" s="1023"/>
    </row>
    <row r="28" spans="1:75" s="950" customFormat="1" ht="20.100000000000001" hidden="1" customHeight="1">
      <c r="A28" s="835" t="s">
        <v>744</v>
      </c>
      <c r="B28" s="678" t="s">
        <v>687</v>
      </c>
      <c r="C28" s="663">
        <f t="shared" si="12"/>
        <v>480</v>
      </c>
      <c r="D28" s="852"/>
      <c r="E28" s="661">
        <f t="shared" si="10"/>
        <v>0</v>
      </c>
      <c r="F28" s="661">
        <f>360*0</f>
        <v>0</v>
      </c>
      <c r="G28" s="661"/>
      <c r="H28" s="660">
        <f t="shared" si="13"/>
        <v>0</v>
      </c>
      <c r="I28" s="661"/>
      <c r="J28" s="661"/>
      <c r="K28" s="661">
        <f t="shared" si="14"/>
        <v>480</v>
      </c>
      <c r="L28" s="661">
        <v>480</v>
      </c>
      <c r="M28" s="661"/>
      <c r="N28" s="661">
        <f t="shared" si="5"/>
        <v>0</v>
      </c>
      <c r="O28" s="820"/>
      <c r="P28" s="820"/>
      <c r="Q28" s="820"/>
      <c r="R28" s="820"/>
      <c r="S28" s="820"/>
      <c r="T28" s="820"/>
      <c r="U28" s="820"/>
      <c r="V28" s="820"/>
      <c r="W28" s="679">
        <f t="shared" si="15"/>
        <v>480</v>
      </c>
      <c r="X28" s="680"/>
      <c r="Y28" s="680"/>
      <c r="Z28" s="680"/>
      <c r="AA28" s="1354"/>
      <c r="AB28" s="664"/>
      <c r="AC28" s="841" t="e">
        <f>#REF!+E28+H28+K28+N28</f>
        <v>#REF!</v>
      </c>
      <c r="AD28" s="664"/>
      <c r="AE28" s="664"/>
      <c r="AF28" s="664"/>
      <c r="AG28" s="1186"/>
      <c r="AH28" s="1186"/>
      <c r="AI28" s="1186"/>
      <c r="AJ28" s="1186">
        <f t="shared" si="6"/>
        <v>0</v>
      </c>
      <c r="AK28" s="1186"/>
      <c r="AL28" s="1051"/>
      <c r="AM28" s="1061"/>
      <c r="AN28" s="1035"/>
      <c r="AO28" s="1035"/>
      <c r="AP28" s="1027"/>
      <c r="AQ28" s="1031"/>
      <c r="AR28" s="1023"/>
      <c r="AS28" s="1023"/>
      <c r="AT28" s="1023"/>
      <c r="AU28" s="1023"/>
      <c r="AV28" s="1023"/>
      <c r="AW28" s="1023"/>
      <c r="AX28" s="1023"/>
      <c r="AY28" s="1023"/>
      <c r="AZ28" s="1023"/>
      <c r="BA28" s="1023"/>
      <c r="BB28" s="1023"/>
      <c r="BC28" s="1023"/>
      <c r="BD28" s="1023"/>
      <c r="BE28" s="1023"/>
      <c r="BF28" s="1023"/>
      <c r="BG28" s="1023"/>
      <c r="BH28" s="1023"/>
      <c r="BI28" s="1023"/>
      <c r="BJ28" s="1023"/>
      <c r="BK28" s="1023"/>
      <c r="BL28" s="1023"/>
      <c r="BM28" s="1023"/>
      <c r="BN28" s="1023"/>
      <c r="BO28" s="1023"/>
      <c r="BP28" s="1023"/>
      <c r="BQ28" s="1023"/>
      <c r="BR28" s="1023"/>
      <c r="BS28" s="1023"/>
      <c r="BT28" s="1023"/>
      <c r="BU28" s="1023"/>
      <c r="BV28" s="1023"/>
      <c r="BW28" s="1023"/>
    </row>
    <row r="29" spans="1:75" ht="20.100000000000001" hidden="1" customHeight="1">
      <c r="A29" s="835" t="s">
        <v>745</v>
      </c>
      <c r="B29" s="678" t="s">
        <v>682</v>
      </c>
      <c r="C29" s="663">
        <f t="shared" si="12"/>
        <v>1650</v>
      </c>
      <c r="D29" s="852"/>
      <c r="E29" s="661">
        <f t="shared" si="10"/>
        <v>0</v>
      </c>
      <c r="F29" s="661">
        <f>212*0</f>
        <v>0</v>
      </c>
      <c r="G29" s="661"/>
      <c r="H29" s="660">
        <f t="shared" si="13"/>
        <v>0</v>
      </c>
      <c r="I29" s="661"/>
      <c r="J29" s="661"/>
      <c r="K29" s="661">
        <f>L29+M29</f>
        <v>0</v>
      </c>
      <c r="L29" s="661">
        <v>0</v>
      </c>
      <c r="M29" s="661"/>
      <c r="N29" s="661">
        <f t="shared" si="5"/>
        <v>0</v>
      </c>
      <c r="O29" s="661"/>
      <c r="P29" s="681"/>
      <c r="Q29" s="681">
        <f>R29</f>
        <v>1230</v>
      </c>
      <c r="R29" s="681">
        <v>1230</v>
      </c>
      <c r="S29" s="681"/>
      <c r="T29" s="681">
        <f>U29+V29</f>
        <v>420</v>
      </c>
      <c r="U29" s="681">
        <v>420</v>
      </c>
      <c r="V29" s="681"/>
      <c r="W29" s="679">
        <f t="shared" si="15"/>
        <v>1650</v>
      </c>
      <c r="X29" s="689"/>
      <c r="Y29" s="689"/>
      <c r="Z29" s="680"/>
      <c r="AA29" s="1354"/>
      <c r="AC29" s="841" t="e">
        <f>#REF!+E29+H29+K29+N29</f>
        <v>#REF!</v>
      </c>
      <c r="AG29" s="1186"/>
      <c r="AH29" s="1186"/>
      <c r="AI29" s="1186"/>
      <c r="AJ29" s="1186">
        <f t="shared" si="6"/>
        <v>0</v>
      </c>
      <c r="AK29" s="1186"/>
      <c r="AL29" s="1187"/>
      <c r="AM29" s="1188"/>
      <c r="AN29" s="1189"/>
      <c r="AO29" s="1189"/>
      <c r="AP29" s="842"/>
      <c r="AQ29" s="842"/>
      <c r="AR29" s="664"/>
      <c r="AS29" s="664"/>
      <c r="AT29" s="664"/>
      <c r="AU29" s="664"/>
      <c r="AV29" s="664"/>
      <c r="AW29" s="664"/>
      <c r="AX29" s="664"/>
      <c r="AY29" s="664"/>
      <c r="AZ29" s="664"/>
      <c r="BA29" s="664"/>
      <c r="BB29" s="664"/>
      <c r="BC29" s="664"/>
      <c r="BD29" s="664"/>
      <c r="BE29" s="664"/>
      <c r="BF29" s="664"/>
      <c r="BG29" s="664"/>
      <c r="BH29" s="664"/>
      <c r="BI29" s="664"/>
      <c r="BJ29" s="664"/>
      <c r="BK29" s="664"/>
      <c r="BL29" s="664"/>
      <c r="BM29" s="664"/>
      <c r="BN29" s="664"/>
      <c r="BO29" s="664"/>
      <c r="BP29" s="664"/>
      <c r="BQ29" s="664"/>
      <c r="BR29" s="664"/>
      <c r="BS29" s="664"/>
      <c r="BT29" s="664"/>
      <c r="BU29" s="664"/>
      <c r="BV29" s="664"/>
      <c r="BW29" s="664"/>
    </row>
    <row r="30" spans="1:75" ht="20.100000000000001" hidden="1" customHeight="1">
      <c r="A30" s="835" t="s">
        <v>746</v>
      </c>
      <c r="B30" s="678" t="s">
        <v>824</v>
      </c>
      <c r="C30" s="663">
        <f t="shared" si="12"/>
        <v>290</v>
      </c>
      <c r="D30" s="852"/>
      <c r="E30" s="661">
        <f t="shared" si="10"/>
        <v>570</v>
      </c>
      <c r="F30" s="661">
        <v>570</v>
      </c>
      <c r="G30" s="681"/>
      <c r="H30" s="660">
        <f t="shared" si="13"/>
        <v>290</v>
      </c>
      <c r="I30" s="661">
        <v>290</v>
      </c>
      <c r="J30" s="661"/>
      <c r="K30" s="661">
        <f>L30+M30</f>
        <v>0</v>
      </c>
      <c r="L30" s="661"/>
      <c r="M30" s="661"/>
      <c r="N30" s="661">
        <f t="shared" si="5"/>
        <v>0</v>
      </c>
      <c r="O30" s="681"/>
      <c r="P30" s="681"/>
      <c r="Q30" s="681"/>
      <c r="R30" s="681"/>
      <c r="S30" s="681"/>
      <c r="T30" s="681"/>
      <c r="U30" s="681"/>
      <c r="V30" s="681"/>
      <c r="W30" s="679">
        <f t="shared" si="15"/>
        <v>290</v>
      </c>
      <c r="X30" s="680"/>
      <c r="Y30" s="680"/>
      <c r="Z30" s="680"/>
      <c r="AA30" s="1354"/>
      <c r="AC30" s="841" t="e">
        <f>#REF!+E30+H30+K30+N30</f>
        <v>#REF!</v>
      </c>
      <c r="AG30" s="1186">
        <v>300</v>
      </c>
      <c r="AH30" s="1186">
        <v>570</v>
      </c>
      <c r="AI30" s="1186">
        <v>0</v>
      </c>
      <c r="AJ30" s="1186"/>
      <c r="AK30" s="1186">
        <f t="shared" si="7"/>
        <v>-270</v>
      </c>
      <c r="AL30" s="1187"/>
      <c r="AM30" s="1188"/>
      <c r="AN30" s="1189"/>
      <c r="AO30" s="1189"/>
      <c r="AP30" s="842"/>
      <c r="AQ30" s="842"/>
      <c r="AR30" s="664"/>
      <c r="AS30" s="664"/>
      <c r="AT30" s="664"/>
      <c r="AU30" s="664"/>
      <c r="AV30" s="664"/>
      <c r="AW30" s="664"/>
      <c r="AX30" s="664"/>
      <c r="AY30" s="664"/>
      <c r="AZ30" s="664"/>
      <c r="BA30" s="664"/>
      <c r="BB30" s="664"/>
      <c r="BC30" s="664"/>
      <c r="BD30" s="664"/>
      <c r="BE30" s="664"/>
      <c r="BF30" s="664"/>
      <c r="BG30" s="664"/>
      <c r="BH30" s="664"/>
      <c r="BI30" s="664"/>
      <c r="BJ30" s="664"/>
      <c r="BK30" s="664"/>
      <c r="BL30" s="664"/>
      <c r="BM30" s="664"/>
      <c r="BN30" s="664"/>
      <c r="BO30" s="664"/>
      <c r="BP30" s="664"/>
      <c r="BQ30" s="664"/>
      <c r="BR30" s="664"/>
      <c r="BS30" s="664"/>
      <c r="BT30" s="664"/>
      <c r="BU30" s="664"/>
      <c r="BV30" s="664"/>
      <c r="BW30" s="664"/>
    </row>
    <row r="31" spans="1:75" ht="27.75" hidden="1" customHeight="1">
      <c r="A31" s="835" t="s">
        <v>747</v>
      </c>
      <c r="B31" s="678" t="s">
        <v>702</v>
      </c>
      <c r="C31" s="663">
        <f t="shared" si="12"/>
        <v>250</v>
      </c>
      <c r="D31" s="852"/>
      <c r="E31" s="661">
        <f>F31+G31</f>
        <v>0</v>
      </c>
      <c r="F31" s="661">
        <v>0</v>
      </c>
      <c r="G31" s="661"/>
      <c r="H31" s="660">
        <f t="shared" si="13"/>
        <v>250</v>
      </c>
      <c r="I31" s="661">
        <v>250</v>
      </c>
      <c r="J31" s="661"/>
      <c r="K31" s="661"/>
      <c r="L31" s="661"/>
      <c r="M31" s="661"/>
      <c r="N31" s="661">
        <f t="shared" si="5"/>
        <v>0</v>
      </c>
      <c r="O31" s="681"/>
      <c r="P31" s="681"/>
      <c r="Q31" s="681"/>
      <c r="R31" s="681"/>
      <c r="S31" s="681"/>
      <c r="T31" s="681"/>
      <c r="U31" s="681"/>
      <c r="V31" s="681"/>
      <c r="W31" s="679">
        <f t="shared" si="15"/>
        <v>250</v>
      </c>
      <c r="X31" s="680">
        <f>Y31+Z31</f>
        <v>0</v>
      </c>
      <c r="Y31" s="680"/>
      <c r="Z31" s="680"/>
      <c r="AA31" s="1354"/>
      <c r="AC31" s="841" t="e">
        <f>#REF!+E31+H31+K31+N31</f>
        <v>#REF!</v>
      </c>
      <c r="AG31" s="1186">
        <v>200</v>
      </c>
      <c r="AH31" s="1186">
        <v>30</v>
      </c>
      <c r="AI31" s="1186">
        <v>0</v>
      </c>
      <c r="AJ31" s="1186">
        <f t="shared" si="6"/>
        <v>170</v>
      </c>
      <c r="AK31" s="1186"/>
      <c r="AL31" s="1187"/>
      <c r="AM31" s="1188"/>
      <c r="AN31" s="1189"/>
      <c r="AO31" s="1189"/>
      <c r="AP31" s="842"/>
      <c r="AQ31" s="842"/>
      <c r="AR31" s="664"/>
      <c r="AS31" s="664"/>
      <c r="AT31" s="664"/>
      <c r="AU31" s="664"/>
      <c r="AV31" s="664"/>
      <c r="AW31" s="664"/>
      <c r="AX31" s="664"/>
      <c r="AY31" s="664"/>
      <c r="AZ31" s="664"/>
      <c r="BA31" s="664"/>
      <c r="BB31" s="664"/>
      <c r="BC31" s="664"/>
      <c r="BD31" s="664"/>
      <c r="BE31" s="664"/>
      <c r="BF31" s="664"/>
      <c r="BG31" s="664"/>
      <c r="BH31" s="664"/>
      <c r="BI31" s="664"/>
      <c r="BJ31" s="664"/>
      <c r="BK31" s="664"/>
      <c r="BL31" s="664"/>
      <c r="BM31" s="664"/>
      <c r="BN31" s="664"/>
      <c r="BO31" s="664"/>
      <c r="BP31" s="664"/>
      <c r="BQ31" s="664"/>
      <c r="BR31" s="664"/>
      <c r="BS31" s="664"/>
      <c r="BT31" s="664"/>
      <c r="BU31" s="664"/>
      <c r="BV31" s="664"/>
      <c r="BW31" s="664"/>
    </row>
    <row r="32" spans="1:75" ht="27.75" hidden="1" customHeight="1">
      <c r="A32" s="835" t="s">
        <v>748</v>
      </c>
      <c r="B32" s="1110" t="s">
        <v>833</v>
      </c>
      <c r="C32" s="663">
        <f t="shared" si="12"/>
        <v>1340</v>
      </c>
      <c r="D32" s="852"/>
      <c r="E32" s="661">
        <f t="shared" ref="E32:E34" si="16">F32+G32</f>
        <v>550</v>
      </c>
      <c r="F32" s="661">
        <v>550</v>
      </c>
      <c r="G32" s="661"/>
      <c r="H32" s="660">
        <f t="shared" si="13"/>
        <v>0</v>
      </c>
      <c r="I32" s="661"/>
      <c r="J32" s="661"/>
      <c r="K32" s="661"/>
      <c r="L32" s="661"/>
      <c r="M32" s="661"/>
      <c r="N32" s="661">
        <f t="shared" ref="N32" si="17">O32+P32</f>
        <v>640</v>
      </c>
      <c r="O32" s="661">
        <v>640</v>
      </c>
      <c r="P32" s="681"/>
      <c r="Q32" s="661">
        <f>R32+S32</f>
        <v>700</v>
      </c>
      <c r="R32" s="661">
        <v>700</v>
      </c>
      <c r="S32" s="681"/>
      <c r="T32" s="681"/>
      <c r="U32" s="681"/>
      <c r="V32" s="681"/>
      <c r="W32" s="679">
        <f t="shared" si="15"/>
        <v>1340</v>
      </c>
      <c r="X32" s="680">
        <f>Y32+Z32</f>
        <v>0</v>
      </c>
      <c r="Y32" s="680">
        <f>400*0</f>
        <v>0</v>
      </c>
      <c r="Z32" s="680"/>
      <c r="AA32" s="1354"/>
      <c r="AC32" s="841" t="e">
        <f>#REF!+E32+H32+K32+N32</f>
        <v>#REF!</v>
      </c>
      <c r="AG32" s="1186">
        <v>350</v>
      </c>
      <c r="AH32" s="1186">
        <v>550</v>
      </c>
      <c r="AI32" s="1186">
        <v>0</v>
      </c>
      <c r="AJ32" s="1186"/>
      <c r="AK32" s="1186">
        <f t="shared" si="7"/>
        <v>-200</v>
      </c>
      <c r="AL32" s="1187"/>
      <c r="AM32" s="1188"/>
      <c r="AN32" s="1189"/>
      <c r="AO32" s="1189"/>
      <c r="AP32" s="842"/>
      <c r="AQ32" s="842"/>
      <c r="AR32" s="664"/>
      <c r="AS32" s="664"/>
      <c r="AT32" s="664"/>
      <c r="AU32" s="664"/>
      <c r="AV32" s="664"/>
      <c r="AW32" s="664"/>
      <c r="AX32" s="664"/>
      <c r="AY32" s="664"/>
      <c r="AZ32" s="664"/>
      <c r="BA32" s="664"/>
      <c r="BB32" s="664"/>
      <c r="BC32" s="664"/>
      <c r="BD32" s="664"/>
      <c r="BE32" s="664"/>
      <c r="BF32" s="664"/>
      <c r="BG32" s="664"/>
      <c r="BH32" s="664"/>
      <c r="BI32" s="664"/>
      <c r="BJ32" s="664"/>
      <c r="BK32" s="664"/>
      <c r="BL32" s="664"/>
      <c r="BM32" s="664"/>
      <c r="BN32" s="664"/>
      <c r="BO32" s="664"/>
      <c r="BP32" s="664"/>
      <c r="BQ32" s="664"/>
      <c r="BR32" s="664"/>
      <c r="BS32" s="664"/>
      <c r="BT32" s="664"/>
      <c r="BU32" s="664"/>
      <c r="BV32" s="664"/>
      <c r="BW32" s="664"/>
    </row>
    <row r="33" spans="1:75" ht="20.100000000000001" hidden="1" customHeight="1">
      <c r="A33" s="835" t="s">
        <v>749</v>
      </c>
      <c r="B33" s="678" t="s">
        <v>667</v>
      </c>
      <c r="C33" s="663">
        <f t="shared" si="12"/>
        <v>430</v>
      </c>
      <c r="D33" s="852"/>
      <c r="E33" s="661">
        <f t="shared" si="16"/>
        <v>0</v>
      </c>
      <c r="F33" s="661"/>
      <c r="G33" s="661"/>
      <c r="H33" s="660">
        <f t="shared" si="13"/>
        <v>0</v>
      </c>
      <c r="I33" s="661">
        <v>0</v>
      </c>
      <c r="J33" s="661"/>
      <c r="K33" s="661">
        <f>L33</f>
        <v>430</v>
      </c>
      <c r="L33" s="661">
        <v>430</v>
      </c>
      <c r="M33" s="661"/>
      <c r="N33" s="661">
        <f t="shared" si="5"/>
        <v>0</v>
      </c>
      <c r="O33" s="681"/>
      <c r="P33" s="681"/>
      <c r="Q33" s="681"/>
      <c r="R33" s="681"/>
      <c r="S33" s="681"/>
      <c r="T33" s="681"/>
      <c r="U33" s="681"/>
      <c r="V33" s="681"/>
      <c r="W33" s="679">
        <f t="shared" si="15"/>
        <v>430</v>
      </c>
      <c r="X33" s="680"/>
      <c r="Y33" s="680"/>
      <c r="Z33" s="680"/>
      <c r="AA33" s="1354"/>
      <c r="AC33" s="841" t="e">
        <f>#REF!+E33+H33+K33+N33</f>
        <v>#REF!</v>
      </c>
      <c r="AG33" s="1186"/>
      <c r="AH33" s="1186"/>
      <c r="AI33" s="1186"/>
      <c r="AJ33" s="1186">
        <f t="shared" si="6"/>
        <v>0</v>
      </c>
      <c r="AK33" s="1186">
        <f t="shared" si="7"/>
        <v>0</v>
      </c>
      <c r="AL33" s="1187"/>
      <c r="AM33" s="1188"/>
      <c r="AN33" s="1189"/>
      <c r="AO33" s="1189"/>
      <c r="AP33" s="842"/>
      <c r="AQ33" s="842"/>
      <c r="AR33" s="664"/>
      <c r="AS33" s="664"/>
      <c r="AT33" s="664"/>
      <c r="AU33" s="664"/>
      <c r="AV33" s="664"/>
      <c r="AW33" s="664"/>
      <c r="AX33" s="664"/>
      <c r="AY33" s="664"/>
      <c r="AZ33" s="664"/>
      <c r="BA33" s="664"/>
      <c r="BB33" s="664"/>
      <c r="BC33" s="664"/>
      <c r="BD33" s="664"/>
      <c r="BE33" s="664"/>
      <c r="BF33" s="664"/>
      <c r="BG33" s="664"/>
      <c r="BH33" s="664"/>
      <c r="BI33" s="664"/>
      <c r="BJ33" s="664"/>
      <c r="BK33" s="664"/>
      <c r="BL33" s="664"/>
      <c r="BM33" s="664"/>
      <c r="BN33" s="664"/>
      <c r="BO33" s="664"/>
      <c r="BP33" s="664"/>
      <c r="BQ33" s="664"/>
      <c r="BR33" s="664"/>
      <c r="BS33" s="664"/>
      <c r="BT33" s="664"/>
      <c r="BU33" s="664"/>
      <c r="BV33" s="664"/>
      <c r="BW33" s="664"/>
    </row>
    <row r="34" spans="1:75" s="950" customFormat="1" ht="31.5" hidden="1" customHeight="1">
      <c r="A34" s="835" t="s">
        <v>750</v>
      </c>
      <c r="B34" s="678" t="s">
        <v>668</v>
      </c>
      <c r="C34" s="663">
        <f t="shared" si="12"/>
        <v>480</v>
      </c>
      <c r="D34" s="852"/>
      <c r="E34" s="661">
        <f t="shared" si="16"/>
        <v>0</v>
      </c>
      <c r="F34" s="693"/>
      <c r="G34" s="693"/>
      <c r="H34" s="660">
        <f t="shared" si="13"/>
        <v>0</v>
      </c>
      <c r="I34" s="693"/>
      <c r="J34" s="693"/>
      <c r="K34" s="693">
        <f>L34+M34</f>
        <v>480</v>
      </c>
      <c r="L34" s="693">
        <v>480</v>
      </c>
      <c r="M34" s="693"/>
      <c r="N34" s="661">
        <f t="shared" si="5"/>
        <v>0</v>
      </c>
      <c r="O34" s="820"/>
      <c r="P34" s="820"/>
      <c r="Q34" s="820"/>
      <c r="R34" s="820"/>
      <c r="S34" s="820"/>
      <c r="T34" s="820"/>
      <c r="U34" s="820"/>
      <c r="V34" s="820"/>
      <c r="W34" s="679">
        <f t="shared" si="15"/>
        <v>480</v>
      </c>
      <c r="X34" s="680"/>
      <c r="Y34" s="680"/>
      <c r="Z34" s="680"/>
      <c r="AA34" s="1354"/>
      <c r="AB34" s="664"/>
      <c r="AC34" s="841" t="e">
        <f>#REF!+E34+H34+K34+N34</f>
        <v>#REF!</v>
      </c>
      <c r="AD34" s="664"/>
      <c r="AE34" s="664"/>
      <c r="AF34" s="664"/>
      <c r="AG34" s="1186"/>
      <c r="AH34" s="1186"/>
      <c r="AI34" s="1186"/>
      <c r="AJ34" s="1186">
        <f t="shared" si="6"/>
        <v>0</v>
      </c>
      <c r="AK34" s="1186">
        <f t="shared" si="7"/>
        <v>0</v>
      </c>
      <c r="AL34" s="1187"/>
      <c r="AM34" s="1188"/>
      <c r="AN34" s="1189"/>
      <c r="AO34" s="1189"/>
      <c r="AP34" s="842"/>
      <c r="AQ34" s="1190"/>
    </row>
    <row r="35" spans="1:75" ht="20.100000000000001" hidden="1" customHeight="1">
      <c r="A35" s="835" t="s">
        <v>751</v>
      </c>
      <c r="B35" s="678" t="s">
        <v>699</v>
      </c>
      <c r="C35" s="663">
        <f t="shared" si="12"/>
        <v>220</v>
      </c>
      <c r="D35" s="852"/>
      <c r="E35" s="661">
        <f>F35+G35</f>
        <v>0</v>
      </c>
      <c r="F35" s="661">
        <v>0</v>
      </c>
      <c r="G35" s="661"/>
      <c r="H35" s="661">
        <f>I35</f>
        <v>220</v>
      </c>
      <c r="I35" s="661">
        <v>220</v>
      </c>
      <c r="J35" s="661"/>
      <c r="K35" s="661">
        <f>L35</f>
        <v>0</v>
      </c>
      <c r="L35" s="661">
        <f>300*0</f>
        <v>0</v>
      </c>
      <c r="M35" s="661"/>
      <c r="N35" s="661">
        <f t="shared" si="5"/>
        <v>0</v>
      </c>
      <c r="O35" s="681"/>
      <c r="P35" s="681"/>
      <c r="Q35" s="681"/>
      <c r="R35" s="681"/>
      <c r="S35" s="681"/>
      <c r="T35" s="681"/>
      <c r="U35" s="681"/>
      <c r="V35" s="681"/>
      <c r="W35" s="679">
        <f t="shared" si="15"/>
        <v>220</v>
      </c>
      <c r="X35" s="680">
        <f t="shared" ref="X35:X38" si="18">Y35+Z35</f>
        <v>0</v>
      </c>
      <c r="Y35" s="680"/>
      <c r="Z35" s="680"/>
      <c r="AA35" s="1354"/>
      <c r="AC35" s="841" t="e">
        <f>#REF!+E35+H35+K35+N35</f>
        <v>#REF!</v>
      </c>
      <c r="AG35" s="1186">
        <v>300</v>
      </c>
      <c r="AH35" s="1186">
        <v>0</v>
      </c>
      <c r="AI35" s="1186">
        <v>30</v>
      </c>
      <c r="AJ35" s="1186">
        <f t="shared" si="6"/>
        <v>270</v>
      </c>
      <c r="AK35" s="1186"/>
      <c r="AL35" s="1187"/>
      <c r="AM35" s="1188"/>
      <c r="AN35" s="1189"/>
      <c r="AO35" s="1189"/>
      <c r="AP35" s="842"/>
      <c r="AQ35" s="842"/>
      <c r="AR35" s="664"/>
      <c r="AS35" s="664"/>
      <c r="AT35" s="664"/>
      <c r="AU35" s="664"/>
      <c r="AV35" s="664"/>
      <c r="AW35" s="664"/>
      <c r="AX35" s="664"/>
      <c r="AY35" s="664"/>
      <c r="AZ35" s="664"/>
      <c r="BA35" s="664"/>
      <c r="BB35" s="664"/>
      <c r="BC35" s="664"/>
      <c r="BD35" s="664"/>
      <c r="BE35" s="664"/>
      <c r="BF35" s="664"/>
      <c r="BG35" s="664"/>
      <c r="BH35" s="664"/>
      <c r="BI35" s="664"/>
      <c r="BJ35" s="664"/>
      <c r="BK35" s="664"/>
      <c r="BL35" s="664"/>
      <c r="BM35" s="664"/>
      <c r="BN35" s="664"/>
      <c r="BO35" s="664"/>
      <c r="BP35" s="664"/>
      <c r="BQ35" s="664"/>
      <c r="BR35" s="664"/>
      <c r="BS35" s="664"/>
      <c r="BT35" s="664"/>
      <c r="BU35" s="664"/>
      <c r="BV35" s="664"/>
      <c r="BW35" s="664"/>
    </row>
    <row r="36" spans="1:75" ht="20.100000000000001" hidden="1" customHeight="1">
      <c r="A36" s="835" t="s">
        <v>752</v>
      </c>
      <c r="B36" s="678" t="s">
        <v>608</v>
      </c>
      <c r="C36" s="663">
        <f t="shared" si="12"/>
        <v>130</v>
      </c>
      <c r="D36" s="852"/>
      <c r="E36" s="661"/>
      <c r="F36" s="661"/>
      <c r="G36" s="661"/>
      <c r="H36" s="661"/>
      <c r="I36" s="661"/>
      <c r="J36" s="661"/>
      <c r="K36" s="661">
        <f>L36+M36</f>
        <v>130</v>
      </c>
      <c r="L36" s="661">
        <v>130</v>
      </c>
      <c r="M36" s="661"/>
      <c r="N36" s="661">
        <f t="shared" si="5"/>
        <v>0</v>
      </c>
      <c r="O36" s="681">
        <v>0</v>
      </c>
      <c r="P36" s="681"/>
      <c r="Q36" s="681"/>
      <c r="R36" s="681"/>
      <c r="S36" s="681"/>
      <c r="T36" s="681"/>
      <c r="U36" s="681"/>
      <c r="V36" s="681"/>
      <c r="W36" s="679">
        <f t="shared" si="15"/>
        <v>130</v>
      </c>
      <c r="X36" s="680">
        <f t="shared" si="18"/>
        <v>0</v>
      </c>
      <c r="Y36" s="680"/>
      <c r="Z36" s="680"/>
      <c r="AA36" s="1354"/>
      <c r="AC36" s="841" t="e">
        <f>#REF!+E36+H36+K36+N36</f>
        <v>#REF!</v>
      </c>
      <c r="AG36" s="1186"/>
      <c r="AH36" s="1186"/>
      <c r="AI36" s="1186"/>
      <c r="AJ36" s="1186">
        <f t="shared" si="6"/>
        <v>0</v>
      </c>
      <c r="AK36" s="1186"/>
      <c r="AL36" s="1187"/>
      <c r="AM36" s="1188"/>
      <c r="AN36" s="1189"/>
      <c r="AO36" s="1189"/>
      <c r="AP36" s="842"/>
      <c r="AQ36" s="842"/>
      <c r="AR36" s="664"/>
      <c r="AS36" s="664"/>
      <c r="AT36" s="664"/>
      <c r="AU36" s="664"/>
      <c r="AV36" s="664"/>
      <c r="AW36" s="664"/>
      <c r="AX36" s="664"/>
      <c r="AY36" s="664"/>
      <c r="AZ36" s="664"/>
      <c r="BA36" s="664"/>
      <c r="BB36" s="664"/>
      <c r="BC36" s="664"/>
      <c r="BD36" s="664"/>
      <c r="BE36" s="664"/>
      <c r="BF36" s="664"/>
      <c r="BG36" s="664"/>
      <c r="BH36" s="664"/>
      <c r="BI36" s="664"/>
      <c r="BJ36" s="664"/>
      <c r="BK36" s="664"/>
      <c r="BL36" s="664"/>
      <c r="BM36" s="664"/>
      <c r="BN36" s="664"/>
      <c r="BO36" s="664"/>
      <c r="BP36" s="664"/>
      <c r="BQ36" s="664"/>
      <c r="BR36" s="664"/>
      <c r="BS36" s="664"/>
      <c r="BT36" s="664"/>
      <c r="BU36" s="664"/>
      <c r="BV36" s="664"/>
      <c r="BW36" s="664"/>
    </row>
    <row r="37" spans="1:75" ht="30" hidden="1" customHeight="1">
      <c r="A37" s="835" t="s">
        <v>753</v>
      </c>
      <c r="B37" s="694" t="s">
        <v>938</v>
      </c>
      <c r="C37" s="663">
        <f t="shared" si="12"/>
        <v>3230</v>
      </c>
      <c r="D37" s="852">
        <v>171</v>
      </c>
      <c r="E37" s="661">
        <f>F37+G37</f>
        <v>140</v>
      </c>
      <c r="F37" s="661">
        <v>140</v>
      </c>
      <c r="G37" s="661"/>
      <c r="H37" s="661">
        <f>I37+J37</f>
        <v>780</v>
      </c>
      <c r="I37" s="661">
        <v>780</v>
      </c>
      <c r="J37" s="661"/>
      <c r="K37" s="661">
        <f>L37+M37</f>
        <v>530</v>
      </c>
      <c r="L37" s="661">
        <v>530</v>
      </c>
      <c r="M37" s="661"/>
      <c r="N37" s="661">
        <f t="shared" si="5"/>
        <v>640</v>
      </c>
      <c r="O37" s="681">
        <v>640</v>
      </c>
      <c r="P37" s="681"/>
      <c r="Q37" s="681">
        <f>R37+S37</f>
        <v>640</v>
      </c>
      <c r="R37" s="681">
        <v>640</v>
      </c>
      <c r="S37" s="681"/>
      <c r="T37" s="681">
        <f>U37+V37</f>
        <v>640</v>
      </c>
      <c r="U37" s="681">
        <v>640</v>
      </c>
      <c r="V37" s="681"/>
      <c r="W37" s="679">
        <f t="shared" si="15"/>
        <v>3230</v>
      </c>
      <c r="X37" s="680">
        <f t="shared" si="18"/>
        <v>0</v>
      </c>
      <c r="Y37" s="680"/>
      <c r="Z37" s="680"/>
      <c r="AA37" s="1354"/>
      <c r="AC37" s="841" t="e">
        <f>#REF!+E37+H37+K37+N37</f>
        <v>#REF!</v>
      </c>
      <c r="AG37" s="1186">
        <v>700</v>
      </c>
      <c r="AH37" s="1186">
        <v>100</v>
      </c>
      <c r="AI37" s="1186">
        <v>0</v>
      </c>
      <c r="AJ37" s="1186">
        <f t="shared" si="6"/>
        <v>600</v>
      </c>
      <c r="AK37" s="1186"/>
      <c r="AL37" s="1187"/>
      <c r="AM37" s="1188"/>
      <c r="AN37" s="1189"/>
      <c r="AO37" s="1189"/>
      <c r="AP37" s="842"/>
      <c r="AQ37" s="842"/>
      <c r="AR37" s="664"/>
      <c r="AS37" s="664"/>
      <c r="AT37" s="664"/>
      <c r="AU37" s="664"/>
      <c r="AV37" s="664"/>
      <c r="AW37" s="664"/>
      <c r="AX37" s="664"/>
      <c r="AY37" s="664"/>
      <c r="AZ37" s="664"/>
      <c r="BA37" s="664"/>
      <c r="BB37" s="664"/>
      <c r="BC37" s="664"/>
      <c r="BD37" s="664"/>
      <c r="BE37" s="664"/>
      <c r="BF37" s="664"/>
      <c r="BG37" s="664"/>
      <c r="BH37" s="664"/>
      <c r="BI37" s="664"/>
      <c r="BJ37" s="664"/>
      <c r="BK37" s="664"/>
      <c r="BL37" s="664"/>
      <c r="BM37" s="664"/>
      <c r="BN37" s="664"/>
      <c r="BO37" s="664"/>
      <c r="BP37" s="664"/>
      <c r="BQ37" s="664"/>
      <c r="BR37" s="664"/>
      <c r="BS37" s="664"/>
      <c r="BT37" s="664"/>
      <c r="BU37" s="664"/>
      <c r="BV37" s="664"/>
      <c r="BW37" s="664"/>
    </row>
    <row r="38" spans="1:75" ht="18" hidden="1" customHeight="1">
      <c r="A38" s="835" t="s">
        <v>754</v>
      </c>
      <c r="B38" s="678" t="s">
        <v>720</v>
      </c>
      <c r="C38" s="663">
        <f t="shared" si="12"/>
        <v>440</v>
      </c>
      <c r="D38" s="852"/>
      <c r="E38" s="661">
        <f>F38+G38</f>
        <v>0</v>
      </c>
      <c r="F38" s="661"/>
      <c r="G38" s="661"/>
      <c r="H38" s="661">
        <f>I38+J38</f>
        <v>320</v>
      </c>
      <c r="I38" s="661">
        <v>320</v>
      </c>
      <c r="J38" s="661"/>
      <c r="K38" s="661">
        <f>L38</f>
        <v>120</v>
      </c>
      <c r="L38" s="661">
        <v>120</v>
      </c>
      <c r="M38" s="661"/>
      <c r="N38" s="661">
        <f t="shared" si="5"/>
        <v>0</v>
      </c>
      <c r="O38" s="681"/>
      <c r="P38" s="681"/>
      <c r="Q38" s="681"/>
      <c r="R38" s="681"/>
      <c r="S38" s="681"/>
      <c r="T38" s="681"/>
      <c r="U38" s="681"/>
      <c r="V38" s="681"/>
      <c r="W38" s="679">
        <f t="shared" si="15"/>
        <v>440</v>
      </c>
      <c r="X38" s="680">
        <f t="shared" si="18"/>
        <v>0</v>
      </c>
      <c r="Y38" s="680"/>
      <c r="Z38" s="680"/>
      <c r="AA38" s="1354"/>
      <c r="AC38" s="841" t="e">
        <f>#REF!+E38+H38+K38+N38</f>
        <v>#REF!</v>
      </c>
      <c r="AG38" s="1186"/>
      <c r="AH38" s="1186"/>
      <c r="AI38" s="1186"/>
      <c r="AJ38" s="1186">
        <f t="shared" si="6"/>
        <v>0</v>
      </c>
      <c r="AK38" s="1186"/>
      <c r="AL38" s="1187"/>
      <c r="AM38" s="1188"/>
      <c r="AN38" s="1189"/>
      <c r="AO38" s="1189"/>
      <c r="AP38" s="842"/>
      <c r="AQ38" s="842"/>
      <c r="AR38" s="664"/>
      <c r="AS38" s="664"/>
      <c r="AT38" s="664"/>
      <c r="AU38" s="664"/>
      <c r="AV38" s="664"/>
      <c r="AW38" s="664"/>
      <c r="AX38" s="664"/>
      <c r="AY38" s="664"/>
      <c r="AZ38" s="664"/>
      <c r="BA38" s="664"/>
      <c r="BB38" s="664"/>
      <c r="BC38" s="664"/>
      <c r="BD38" s="664"/>
      <c r="BE38" s="664"/>
      <c r="BF38" s="664"/>
      <c r="BG38" s="664"/>
      <c r="BH38" s="664"/>
      <c r="BI38" s="664"/>
      <c r="BJ38" s="664"/>
      <c r="BK38" s="664"/>
      <c r="BL38" s="664"/>
      <c r="BM38" s="664"/>
      <c r="BN38" s="664"/>
      <c r="BO38" s="664"/>
      <c r="BP38" s="664"/>
      <c r="BQ38" s="664"/>
      <c r="BR38" s="664"/>
      <c r="BS38" s="664"/>
      <c r="BT38" s="664"/>
      <c r="BU38" s="664"/>
      <c r="BV38" s="664"/>
      <c r="BW38" s="664"/>
    </row>
    <row r="39" spans="1:75" ht="18" hidden="1" customHeight="1" outlineLevel="1">
      <c r="A39" s="835"/>
      <c r="B39" s="678"/>
      <c r="C39" s="663">
        <f t="shared" si="12"/>
        <v>0</v>
      </c>
      <c r="D39" s="852"/>
      <c r="E39" s="661">
        <f>F39+G39</f>
        <v>420</v>
      </c>
      <c r="F39" s="661">
        <v>420</v>
      </c>
      <c r="G39" s="661"/>
      <c r="H39" s="661">
        <f>I39</f>
        <v>0</v>
      </c>
      <c r="I39" s="661"/>
      <c r="J39" s="661"/>
      <c r="K39" s="661"/>
      <c r="L39" s="661"/>
      <c r="M39" s="661"/>
      <c r="N39" s="661">
        <f t="shared" si="5"/>
        <v>0</v>
      </c>
      <c r="O39" s="681"/>
      <c r="P39" s="681"/>
      <c r="Q39" s="681"/>
      <c r="R39" s="681"/>
      <c r="S39" s="681"/>
      <c r="T39" s="681"/>
      <c r="U39" s="681"/>
      <c r="V39" s="681"/>
      <c r="W39" s="679">
        <f t="shared" si="15"/>
        <v>0</v>
      </c>
      <c r="X39" s="680"/>
      <c r="Y39" s="680"/>
      <c r="Z39" s="680"/>
      <c r="AA39" s="1354"/>
      <c r="AC39" s="841" t="e">
        <f>#REF!+E39+H39+K39+N39</f>
        <v>#REF!</v>
      </c>
      <c r="AG39" s="1186">
        <v>800</v>
      </c>
      <c r="AH39" s="1186">
        <f>800-380</f>
        <v>420</v>
      </c>
      <c r="AI39" s="1186">
        <v>0</v>
      </c>
      <c r="AJ39" s="1186">
        <f t="shared" si="6"/>
        <v>380</v>
      </c>
      <c r="AK39" s="1186"/>
      <c r="AL39" s="1187"/>
      <c r="AM39" s="1188"/>
      <c r="AN39" s="1189"/>
      <c r="AO39" s="1189"/>
      <c r="AP39" s="842"/>
      <c r="AQ39" s="842"/>
      <c r="AR39" s="664"/>
      <c r="AS39" s="664"/>
      <c r="AT39" s="664"/>
      <c r="AU39" s="664"/>
      <c r="AV39" s="664"/>
      <c r="AW39" s="664"/>
      <c r="AX39" s="664"/>
      <c r="AY39" s="664"/>
      <c r="AZ39" s="664"/>
      <c r="BA39" s="664"/>
      <c r="BB39" s="664"/>
      <c r="BC39" s="664"/>
      <c r="BD39" s="664"/>
      <c r="BE39" s="664"/>
      <c r="BF39" s="664"/>
      <c r="BG39" s="664"/>
      <c r="BH39" s="664"/>
      <c r="BI39" s="664"/>
      <c r="BJ39" s="664"/>
      <c r="BK39" s="664"/>
      <c r="BL39" s="664"/>
      <c r="BM39" s="664"/>
      <c r="BN39" s="664"/>
      <c r="BO39" s="664"/>
      <c r="BP39" s="664"/>
      <c r="BQ39" s="664"/>
      <c r="BR39" s="664"/>
      <c r="BS39" s="664"/>
      <c r="BT39" s="664"/>
      <c r="BU39" s="664"/>
      <c r="BV39" s="664"/>
      <c r="BW39" s="664"/>
    </row>
    <row r="40" spans="1:75" ht="28.5" hidden="1" customHeight="1" collapsed="1">
      <c r="A40" s="835" t="s">
        <v>755</v>
      </c>
      <c r="B40" s="678" t="s">
        <v>518</v>
      </c>
      <c r="C40" s="663">
        <f t="shared" si="12"/>
        <v>2200</v>
      </c>
      <c r="D40" s="852">
        <v>412</v>
      </c>
      <c r="E40" s="661">
        <f>F40+G40</f>
        <v>600</v>
      </c>
      <c r="F40" s="661">
        <v>600</v>
      </c>
      <c r="G40" s="661"/>
      <c r="H40" s="661">
        <f>I40+J40</f>
        <v>920</v>
      </c>
      <c r="I40" s="661">
        <v>920</v>
      </c>
      <c r="J40" s="661"/>
      <c r="K40" s="661">
        <f>L40+M40</f>
        <v>320</v>
      </c>
      <c r="L40" s="661">
        <v>320</v>
      </c>
      <c r="M40" s="661"/>
      <c r="N40" s="661">
        <f t="shared" si="5"/>
        <v>320</v>
      </c>
      <c r="O40" s="681">
        <v>320</v>
      </c>
      <c r="P40" s="681"/>
      <c r="Q40" s="681">
        <f>R40</f>
        <v>320</v>
      </c>
      <c r="R40" s="681">
        <v>320</v>
      </c>
      <c r="S40" s="681"/>
      <c r="T40" s="681">
        <f>U40+V40</f>
        <v>320</v>
      </c>
      <c r="U40" s="681">
        <v>320</v>
      </c>
      <c r="V40" s="681"/>
      <c r="W40" s="679">
        <f t="shared" si="15"/>
        <v>2200</v>
      </c>
      <c r="X40" s="680"/>
      <c r="Y40" s="680"/>
      <c r="Z40" s="680"/>
      <c r="AA40" s="1354"/>
      <c r="AC40" s="841" t="e">
        <f>#REF!+E40+H40+K40+N40</f>
        <v>#REF!</v>
      </c>
      <c r="AG40" s="1186">
        <v>600</v>
      </c>
      <c r="AH40" s="1186">
        <v>600</v>
      </c>
      <c r="AI40" s="1186">
        <v>0</v>
      </c>
      <c r="AJ40" s="1186">
        <f t="shared" si="6"/>
        <v>0</v>
      </c>
      <c r="AK40" s="1186"/>
      <c r="AL40" s="1187"/>
      <c r="AM40" s="1188"/>
      <c r="AN40" s="1189"/>
      <c r="AO40" s="1189"/>
      <c r="AP40" s="842"/>
      <c r="AQ40" s="842"/>
      <c r="AR40" s="664"/>
      <c r="AS40" s="664"/>
      <c r="AT40" s="664"/>
      <c r="AU40" s="664"/>
      <c r="AV40" s="664"/>
      <c r="AW40" s="664"/>
      <c r="AX40" s="664"/>
      <c r="AY40" s="664"/>
      <c r="AZ40" s="664"/>
      <c r="BA40" s="664"/>
      <c r="BB40" s="664"/>
      <c r="BC40" s="664"/>
      <c r="BD40" s="664"/>
      <c r="BE40" s="664"/>
      <c r="BF40" s="664"/>
      <c r="BG40" s="664"/>
      <c r="BH40" s="664"/>
      <c r="BI40" s="664"/>
      <c r="BJ40" s="664"/>
      <c r="BK40" s="664"/>
      <c r="BL40" s="664"/>
      <c r="BM40" s="664"/>
      <c r="BN40" s="664"/>
      <c r="BO40" s="664"/>
      <c r="BP40" s="664"/>
      <c r="BQ40" s="664"/>
      <c r="BR40" s="664"/>
      <c r="BS40" s="664"/>
      <c r="BT40" s="664"/>
      <c r="BU40" s="664"/>
      <c r="BV40" s="664"/>
      <c r="BW40" s="664"/>
    </row>
    <row r="41" spans="1:75" ht="20.100000000000001" hidden="1" customHeight="1">
      <c r="A41" s="835" t="s">
        <v>756</v>
      </c>
      <c r="B41" s="678" t="s">
        <v>944</v>
      </c>
      <c r="C41" s="663">
        <f t="shared" si="12"/>
        <v>450</v>
      </c>
      <c r="D41" s="852"/>
      <c r="E41" s="661">
        <f t="shared" ref="E41:E48" si="19">F41+G41</f>
        <v>0</v>
      </c>
      <c r="F41" s="661"/>
      <c r="G41" s="661"/>
      <c r="H41" s="661">
        <f t="shared" ref="H41:H49" si="20">I41+J41</f>
        <v>0</v>
      </c>
      <c r="I41" s="661"/>
      <c r="J41" s="661"/>
      <c r="K41" s="661"/>
      <c r="L41" s="661"/>
      <c r="M41" s="661"/>
      <c r="N41" s="661">
        <f t="shared" si="5"/>
        <v>0</v>
      </c>
      <c r="O41" s="661">
        <f>390*0</f>
        <v>0</v>
      </c>
      <c r="P41" s="681"/>
      <c r="Q41" s="681"/>
      <c r="R41" s="681"/>
      <c r="S41" s="681"/>
      <c r="T41" s="661">
        <f>U41+V41</f>
        <v>450</v>
      </c>
      <c r="U41" s="661">
        <v>450</v>
      </c>
      <c r="V41" s="681"/>
      <c r="W41" s="679">
        <f t="shared" si="15"/>
        <v>450</v>
      </c>
      <c r="X41" s="680"/>
      <c r="Y41" s="680"/>
      <c r="Z41" s="680"/>
      <c r="AA41" s="1354"/>
      <c r="AC41" s="841" t="e">
        <f>#REF!+E41+H41+K41+N41</f>
        <v>#REF!</v>
      </c>
      <c r="AG41" s="1186"/>
      <c r="AH41" s="1186"/>
      <c r="AI41" s="1186"/>
      <c r="AJ41" s="1186">
        <f t="shared" si="6"/>
        <v>0</v>
      </c>
      <c r="AK41" s="1186">
        <f t="shared" si="7"/>
        <v>0</v>
      </c>
      <c r="AL41" s="1187"/>
      <c r="AM41" s="1188"/>
      <c r="AN41" s="1189"/>
      <c r="AO41" s="1189"/>
      <c r="AP41" s="842"/>
      <c r="AQ41" s="842"/>
      <c r="AR41" s="664"/>
      <c r="AS41" s="664"/>
      <c r="AT41" s="664"/>
      <c r="AU41" s="664"/>
      <c r="AV41" s="664"/>
      <c r="AW41" s="664"/>
      <c r="AX41" s="664"/>
      <c r="AY41" s="664"/>
      <c r="AZ41" s="664"/>
      <c r="BA41" s="664"/>
      <c r="BB41" s="664"/>
      <c r="BC41" s="664"/>
      <c r="BD41" s="664"/>
      <c r="BE41" s="664"/>
      <c r="BF41" s="664"/>
      <c r="BG41" s="664"/>
      <c r="BH41" s="664"/>
      <c r="BI41" s="664"/>
      <c r="BJ41" s="664"/>
      <c r="BK41" s="664"/>
      <c r="BL41" s="664"/>
      <c r="BM41" s="664"/>
      <c r="BN41" s="664"/>
      <c r="BO41" s="664"/>
      <c r="BP41" s="664"/>
      <c r="BQ41" s="664"/>
      <c r="BR41" s="664"/>
      <c r="BS41" s="664"/>
      <c r="BT41" s="664"/>
      <c r="BU41" s="664"/>
      <c r="BV41" s="664"/>
      <c r="BW41" s="664"/>
    </row>
    <row r="42" spans="1:75" ht="20.100000000000001" hidden="1" customHeight="1">
      <c r="A42" s="835" t="s">
        <v>757</v>
      </c>
      <c r="B42" s="678" t="s">
        <v>942</v>
      </c>
      <c r="C42" s="663">
        <f t="shared" si="12"/>
        <v>170</v>
      </c>
      <c r="D42" s="852"/>
      <c r="E42" s="661">
        <f t="shared" si="19"/>
        <v>0</v>
      </c>
      <c r="F42" s="661">
        <v>0</v>
      </c>
      <c r="G42" s="661"/>
      <c r="H42" s="661">
        <f t="shared" si="20"/>
        <v>170</v>
      </c>
      <c r="I42" s="661">
        <v>170</v>
      </c>
      <c r="J42" s="661"/>
      <c r="K42" s="661"/>
      <c r="L42" s="661"/>
      <c r="M42" s="661"/>
      <c r="N42" s="661">
        <f t="shared" si="5"/>
        <v>0</v>
      </c>
      <c r="O42" s="661"/>
      <c r="P42" s="681"/>
      <c r="Q42" s="681"/>
      <c r="R42" s="681"/>
      <c r="S42" s="681"/>
      <c r="T42" s="681"/>
      <c r="U42" s="681"/>
      <c r="V42" s="681"/>
      <c r="W42" s="679">
        <f t="shared" si="15"/>
        <v>170</v>
      </c>
      <c r="X42" s="680"/>
      <c r="Y42" s="680"/>
      <c r="Z42" s="680"/>
      <c r="AA42" s="1354"/>
      <c r="AC42" s="841" t="e">
        <f>#REF!+E42+H42+K42+N42</f>
        <v>#REF!</v>
      </c>
      <c r="AG42" s="1186">
        <v>400</v>
      </c>
      <c r="AH42" s="1186">
        <v>0</v>
      </c>
      <c r="AI42" s="1186">
        <v>100</v>
      </c>
      <c r="AJ42" s="1186">
        <f t="shared" si="6"/>
        <v>300</v>
      </c>
      <c r="AK42" s="1186"/>
      <c r="AL42" s="1187"/>
      <c r="AM42" s="1188"/>
      <c r="AN42" s="1189"/>
      <c r="AO42" s="1189"/>
      <c r="AP42" s="842"/>
      <c r="AQ42" s="842"/>
      <c r="AR42" s="664"/>
      <c r="AS42" s="664"/>
      <c r="AT42" s="664"/>
      <c r="AU42" s="664"/>
      <c r="AV42" s="664"/>
      <c r="AW42" s="664"/>
      <c r="AX42" s="664"/>
      <c r="AY42" s="664"/>
      <c r="AZ42" s="664"/>
      <c r="BA42" s="664"/>
      <c r="BB42" s="664"/>
      <c r="BC42" s="664"/>
      <c r="BD42" s="664"/>
      <c r="BE42" s="664"/>
      <c r="BF42" s="664"/>
      <c r="BG42" s="664"/>
      <c r="BH42" s="664"/>
      <c r="BI42" s="664"/>
      <c r="BJ42" s="664"/>
      <c r="BK42" s="664"/>
      <c r="BL42" s="664"/>
      <c r="BM42" s="664"/>
      <c r="BN42" s="664"/>
      <c r="BO42" s="664"/>
      <c r="BP42" s="664"/>
      <c r="BQ42" s="664"/>
      <c r="BR42" s="664"/>
      <c r="BS42" s="664"/>
      <c r="BT42" s="664"/>
      <c r="BU42" s="664"/>
      <c r="BV42" s="664"/>
      <c r="BW42" s="664"/>
    </row>
    <row r="43" spans="1:75" ht="20.100000000000001" hidden="1" customHeight="1" outlineLevel="1">
      <c r="A43" s="835"/>
      <c r="B43" s="678"/>
      <c r="C43" s="663">
        <f t="shared" si="12"/>
        <v>0</v>
      </c>
      <c r="D43" s="852"/>
      <c r="E43" s="661">
        <f t="shared" si="19"/>
        <v>100</v>
      </c>
      <c r="F43" s="661">
        <v>100</v>
      </c>
      <c r="G43" s="661"/>
      <c r="H43" s="661">
        <f t="shared" si="20"/>
        <v>0</v>
      </c>
      <c r="I43" s="661"/>
      <c r="J43" s="661"/>
      <c r="K43" s="661"/>
      <c r="L43" s="661"/>
      <c r="M43" s="661"/>
      <c r="N43" s="661">
        <f t="shared" si="5"/>
        <v>0</v>
      </c>
      <c r="O43" s="661"/>
      <c r="P43" s="681"/>
      <c r="Q43" s="681"/>
      <c r="R43" s="681"/>
      <c r="S43" s="681"/>
      <c r="T43" s="681"/>
      <c r="U43" s="681"/>
      <c r="V43" s="681"/>
      <c r="W43" s="679">
        <f t="shared" si="15"/>
        <v>0</v>
      </c>
      <c r="X43" s="680"/>
      <c r="Y43" s="680"/>
      <c r="Z43" s="680"/>
      <c r="AA43" s="1354"/>
      <c r="AC43" s="841" t="e">
        <f>#REF!+E43+H43+K43+N43</f>
        <v>#REF!</v>
      </c>
      <c r="AG43" s="1186">
        <v>200</v>
      </c>
      <c r="AH43" s="1186">
        <v>100</v>
      </c>
      <c r="AI43" s="1186">
        <v>0</v>
      </c>
      <c r="AJ43" s="1186">
        <f t="shared" si="6"/>
        <v>100</v>
      </c>
      <c r="AK43" s="1186"/>
      <c r="AL43" s="1187"/>
      <c r="AM43" s="1188"/>
      <c r="AN43" s="1189"/>
      <c r="AO43" s="1189"/>
      <c r="AP43" s="842"/>
      <c r="AQ43" s="842"/>
      <c r="AR43" s="664"/>
      <c r="AS43" s="664"/>
      <c r="AT43" s="664"/>
      <c r="AU43" s="664"/>
      <c r="AV43" s="664"/>
      <c r="AW43" s="664"/>
      <c r="AX43" s="664"/>
      <c r="AY43" s="664"/>
      <c r="AZ43" s="664"/>
      <c r="BA43" s="664"/>
      <c r="BB43" s="664"/>
      <c r="BC43" s="664"/>
      <c r="BD43" s="664"/>
      <c r="BE43" s="664"/>
      <c r="BF43" s="664"/>
      <c r="BG43" s="664"/>
      <c r="BH43" s="664"/>
      <c r="BI43" s="664"/>
      <c r="BJ43" s="664"/>
      <c r="BK43" s="664"/>
      <c r="BL43" s="664"/>
      <c r="BM43" s="664"/>
      <c r="BN43" s="664"/>
      <c r="BO43" s="664"/>
      <c r="BP43" s="664"/>
      <c r="BQ43" s="664"/>
      <c r="BR43" s="664"/>
      <c r="BS43" s="664"/>
      <c r="BT43" s="664"/>
      <c r="BU43" s="664"/>
      <c r="BV43" s="664"/>
      <c r="BW43" s="664"/>
    </row>
    <row r="44" spans="1:75" ht="20.100000000000001" hidden="1" customHeight="1" collapsed="1">
      <c r="A44" s="835" t="s">
        <v>758</v>
      </c>
      <c r="B44" s="678" t="s">
        <v>943</v>
      </c>
      <c r="C44" s="663">
        <f t="shared" si="12"/>
        <v>1760</v>
      </c>
      <c r="D44" s="852"/>
      <c r="E44" s="661">
        <f t="shared" si="19"/>
        <v>0</v>
      </c>
      <c r="F44" s="661">
        <f>165*0</f>
        <v>0</v>
      </c>
      <c r="G44" s="661"/>
      <c r="H44" s="661">
        <f t="shared" si="20"/>
        <v>0</v>
      </c>
      <c r="I44" s="661"/>
      <c r="J44" s="661"/>
      <c r="K44" s="661"/>
      <c r="L44" s="661"/>
      <c r="M44" s="661"/>
      <c r="N44" s="661">
        <f t="shared" si="5"/>
        <v>0</v>
      </c>
      <c r="O44" s="661">
        <v>0</v>
      </c>
      <c r="P44" s="681"/>
      <c r="Q44" s="661">
        <f t="shared" ref="Q44:Q53" si="21">R44+S44</f>
        <v>650</v>
      </c>
      <c r="R44" s="661">
        <v>650</v>
      </c>
      <c r="S44" s="681"/>
      <c r="T44" s="681">
        <f>U44</f>
        <v>1110</v>
      </c>
      <c r="U44" s="681">
        <v>1110</v>
      </c>
      <c r="V44" s="681"/>
      <c r="W44" s="679">
        <f t="shared" si="15"/>
        <v>1760</v>
      </c>
      <c r="X44" s="680"/>
      <c r="Y44" s="680"/>
      <c r="Z44" s="680"/>
      <c r="AA44" s="1354"/>
      <c r="AC44" s="841" t="e">
        <f>#REF!+E44+H44+K44+N44</f>
        <v>#REF!</v>
      </c>
      <c r="AG44" s="1186"/>
      <c r="AH44" s="1186"/>
      <c r="AI44" s="1186"/>
      <c r="AJ44" s="1186">
        <f t="shared" si="6"/>
        <v>0</v>
      </c>
      <c r="AK44" s="1186"/>
      <c r="AL44" s="1187"/>
      <c r="AM44" s="1188"/>
      <c r="AN44" s="1189"/>
      <c r="AO44" s="1189"/>
      <c r="AP44" s="842"/>
      <c r="AQ44" s="842"/>
      <c r="AR44" s="664"/>
      <c r="AS44" s="664"/>
      <c r="AT44" s="664"/>
      <c r="AU44" s="664"/>
      <c r="AV44" s="664"/>
      <c r="AW44" s="664"/>
      <c r="AX44" s="664"/>
      <c r="AY44" s="664"/>
      <c r="AZ44" s="664"/>
      <c r="BA44" s="664"/>
      <c r="BB44" s="664"/>
      <c r="BC44" s="664"/>
      <c r="BD44" s="664"/>
      <c r="BE44" s="664"/>
      <c r="BF44" s="664"/>
      <c r="BG44" s="664"/>
      <c r="BH44" s="664"/>
      <c r="BI44" s="664"/>
      <c r="BJ44" s="664"/>
      <c r="BK44" s="664"/>
      <c r="BL44" s="664"/>
      <c r="BM44" s="664"/>
      <c r="BN44" s="664"/>
      <c r="BO44" s="664"/>
      <c r="BP44" s="664"/>
      <c r="BQ44" s="664"/>
      <c r="BR44" s="664"/>
      <c r="BS44" s="664"/>
      <c r="BT44" s="664"/>
      <c r="BU44" s="664"/>
      <c r="BV44" s="664"/>
      <c r="BW44" s="664"/>
    </row>
    <row r="45" spans="1:75" ht="20.100000000000001" hidden="1" customHeight="1">
      <c r="A45" s="835" t="s">
        <v>759</v>
      </c>
      <c r="B45" s="678" t="s">
        <v>937</v>
      </c>
      <c r="C45" s="663">
        <f t="shared" si="12"/>
        <v>400</v>
      </c>
      <c r="D45" s="852"/>
      <c r="E45" s="661">
        <f t="shared" si="19"/>
        <v>0</v>
      </c>
      <c r="F45" s="661"/>
      <c r="G45" s="661"/>
      <c r="H45" s="661">
        <f t="shared" si="20"/>
        <v>0</v>
      </c>
      <c r="I45" s="661"/>
      <c r="J45" s="661"/>
      <c r="K45" s="661"/>
      <c r="L45" s="661"/>
      <c r="M45" s="661"/>
      <c r="N45" s="661">
        <f t="shared" si="5"/>
        <v>400</v>
      </c>
      <c r="O45" s="661">
        <v>400</v>
      </c>
      <c r="P45" s="681"/>
      <c r="Q45" s="661">
        <f t="shared" si="21"/>
        <v>0</v>
      </c>
      <c r="R45" s="681"/>
      <c r="S45" s="681"/>
      <c r="T45" s="681"/>
      <c r="U45" s="681"/>
      <c r="V45" s="681"/>
      <c r="W45" s="679">
        <f t="shared" si="15"/>
        <v>400</v>
      </c>
      <c r="X45" s="680"/>
      <c r="Y45" s="680"/>
      <c r="Z45" s="680"/>
      <c r="AA45" s="1354"/>
      <c r="AC45" s="841" t="e">
        <f>#REF!+E45+H45+K45+N45</f>
        <v>#REF!</v>
      </c>
      <c r="AG45" s="1186"/>
      <c r="AH45" s="1186"/>
      <c r="AI45" s="1186"/>
      <c r="AJ45" s="1186">
        <f t="shared" si="6"/>
        <v>0</v>
      </c>
      <c r="AK45" s="1186"/>
      <c r="AL45" s="1187"/>
      <c r="AM45" s="1188"/>
      <c r="AN45" s="1189"/>
      <c r="AO45" s="1189"/>
      <c r="AP45" s="842"/>
      <c r="AQ45" s="842"/>
      <c r="AR45" s="664"/>
      <c r="AS45" s="664"/>
      <c r="AT45" s="664"/>
      <c r="AU45" s="664"/>
      <c r="AV45" s="664"/>
      <c r="AW45" s="664"/>
      <c r="AX45" s="664"/>
      <c r="AY45" s="664"/>
      <c r="AZ45" s="664"/>
      <c r="BA45" s="664"/>
      <c r="BB45" s="664"/>
      <c r="BC45" s="664"/>
      <c r="BD45" s="664"/>
      <c r="BE45" s="664"/>
      <c r="BF45" s="664"/>
      <c r="BG45" s="664"/>
      <c r="BH45" s="664"/>
      <c r="BI45" s="664"/>
      <c r="BJ45" s="664"/>
      <c r="BK45" s="664"/>
      <c r="BL45" s="664"/>
      <c r="BM45" s="664"/>
      <c r="BN45" s="664"/>
      <c r="BO45" s="664"/>
      <c r="BP45" s="664"/>
      <c r="BQ45" s="664"/>
      <c r="BR45" s="664"/>
      <c r="BS45" s="664"/>
      <c r="BT45" s="664"/>
      <c r="BU45" s="664"/>
      <c r="BV45" s="664"/>
      <c r="BW45" s="664"/>
    </row>
    <row r="46" spans="1:75" ht="29.25" hidden="1" customHeight="1">
      <c r="A46" s="835" t="s">
        <v>760</v>
      </c>
      <c r="B46" s="678" t="s">
        <v>825</v>
      </c>
      <c r="C46" s="663">
        <f t="shared" si="12"/>
        <v>420</v>
      </c>
      <c r="D46" s="852"/>
      <c r="E46" s="661">
        <f t="shared" si="19"/>
        <v>0</v>
      </c>
      <c r="F46" s="661"/>
      <c r="G46" s="661"/>
      <c r="H46" s="661">
        <f t="shared" si="20"/>
        <v>420</v>
      </c>
      <c r="I46" s="661">
        <v>420</v>
      </c>
      <c r="J46" s="661"/>
      <c r="K46" s="661">
        <f t="shared" ref="K46:K60" si="22">L46+M46</f>
        <v>0</v>
      </c>
      <c r="L46" s="661"/>
      <c r="M46" s="661"/>
      <c r="N46" s="661">
        <f t="shared" si="5"/>
        <v>0</v>
      </c>
      <c r="O46" s="661"/>
      <c r="P46" s="681"/>
      <c r="Q46" s="661">
        <f t="shared" si="21"/>
        <v>0</v>
      </c>
      <c r="R46" s="681"/>
      <c r="S46" s="681"/>
      <c r="T46" s="681"/>
      <c r="U46" s="681"/>
      <c r="V46" s="681"/>
      <c r="W46" s="679">
        <f t="shared" si="15"/>
        <v>420</v>
      </c>
      <c r="X46" s="680"/>
      <c r="Y46" s="680"/>
      <c r="Z46" s="680"/>
      <c r="AA46" s="1354"/>
      <c r="AC46" s="841"/>
      <c r="AG46" s="1186"/>
      <c r="AH46" s="1186"/>
      <c r="AI46" s="1186"/>
      <c r="AJ46" s="1186">
        <f t="shared" si="6"/>
        <v>0</v>
      </c>
      <c r="AK46" s="1186"/>
      <c r="AL46" s="1187"/>
      <c r="AM46" s="1188"/>
      <c r="AN46" s="1189"/>
      <c r="AO46" s="1189"/>
      <c r="AP46" s="842"/>
      <c r="AQ46" s="842"/>
      <c r="AR46" s="664"/>
      <c r="AS46" s="664"/>
      <c r="AT46" s="664"/>
      <c r="AU46" s="664"/>
      <c r="AV46" s="664"/>
      <c r="AW46" s="664"/>
      <c r="AX46" s="664"/>
      <c r="AY46" s="664"/>
      <c r="AZ46" s="664"/>
      <c r="BA46" s="664"/>
      <c r="BB46" s="664"/>
      <c r="BC46" s="664"/>
      <c r="BD46" s="664"/>
      <c r="BE46" s="664"/>
      <c r="BF46" s="664"/>
      <c r="BG46" s="664"/>
      <c r="BH46" s="664"/>
      <c r="BI46" s="664"/>
      <c r="BJ46" s="664"/>
      <c r="BK46" s="664"/>
      <c r="BL46" s="664"/>
      <c r="BM46" s="664"/>
      <c r="BN46" s="664"/>
      <c r="BO46" s="664"/>
      <c r="BP46" s="664"/>
      <c r="BQ46" s="664"/>
      <c r="BR46" s="664"/>
      <c r="BS46" s="664"/>
      <c r="BT46" s="664"/>
      <c r="BU46" s="664"/>
      <c r="BV46" s="664"/>
      <c r="BW46" s="664"/>
    </row>
    <row r="47" spans="1:75" ht="20.100000000000001" hidden="1" customHeight="1">
      <c r="A47" s="835" t="s">
        <v>761</v>
      </c>
      <c r="B47" s="678" t="s">
        <v>719</v>
      </c>
      <c r="C47" s="663">
        <f t="shared" si="12"/>
        <v>1870</v>
      </c>
      <c r="D47" s="852">
        <v>220</v>
      </c>
      <c r="E47" s="661">
        <f t="shared" si="19"/>
        <v>120</v>
      </c>
      <c r="F47" s="661">
        <v>120</v>
      </c>
      <c r="G47" s="661"/>
      <c r="H47" s="661">
        <f t="shared" si="20"/>
        <v>820</v>
      </c>
      <c r="I47" s="661">
        <v>820</v>
      </c>
      <c r="J47" s="661"/>
      <c r="K47" s="661">
        <f t="shared" si="22"/>
        <v>1050</v>
      </c>
      <c r="L47" s="661">
        <v>1050</v>
      </c>
      <c r="M47" s="661"/>
      <c r="N47" s="661">
        <f t="shared" si="5"/>
        <v>0</v>
      </c>
      <c r="O47" s="661"/>
      <c r="P47" s="681"/>
      <c r="Q47" s="661">
        <f t="shared" si="21"/>
        <v>0</v>
      </c>
      <c r="R47" s="681"/>
      <c r="S47" s="681"/>
      <c r="T47" s="681"/>
      <c r="U47" s="681"/>
      <c r="V47" s="681"/>
      <c r="W47" s="679">
        <f t="shared" si="15"/>
        <v>1870</v>
      </c>
      <c r="X47" s="680"/>
      <c r="Y47" s="680"/>
      <c r="Z47" s="680"/>
      <c r="AA47" s="1354"/>
      <c r="AC47" s="841"/>
      <c r="AG47" s="1186">
        <v>1400</v>
      </c>
      <c r="AH47" s="1186">
        <v>80</v>
      </c>
      <c r="AI47" s="1186">
        <v>75</v>
      </c>
      <c r="AJ47" s="1186">
        <f t="shared" si="6"/>
        <v>1245</v>
      </c>
      <c r="AK47" s="1186"/>
      <c r="AL47" s="1187"/>
      <c r="AM47" s="1188"/>
      <c r="AN47" s="1189"/>
      <c r="AO47" s="1189"/>
      <c r="AP47" s="842"/>
      <c r="AQ47" s="842"/>
      <c r="AR47" s="664"/>
      <c r="AS47" s="664"/>
      <c r="AT47" s="664"/>
      <c r="AU47" s="664"/>
      <c r="AV47" s="664"/>
      <c r="AW47" s="664"/>
      <c r="AX47" s="664"/>
      <c r="AY47" s="664"/>
      <c r="AZ47" s="664"/>
      <c r="BA47" s="664"/>
      <c r="BB47" s="664"/>
      <c r="BC47" s="664"/>
      <c r="BD47" s="664"/>
      <c r="BE47" s="664"/>
      <c r="BF47" s="664"/>
      <c r="BG47" s="664"/>
      <c r="BH47" s="664"/>
      <c r="BI47" s="664"/>
      <c r="BJ47" s="664"/>
      <c r="BK47" s="664"/>
      <c r="BL47" s="664"/>
      <c r="BM47" s="664"/>
      <c r="BN47" s="664"/>
      <c r="BO47" s="664"/>
      <c r="BP47" s="664"/>
      <c r="BQ47" s="664"/>
      <c r="BR47" s="664"/>
      <c r="BS47" s="664"/>
      <c r="BT47" s="664"/>
      <c r="BU47" s="664"/>
      <c r="BV47" s="664"/>
      <c r="BW47" s="664"/>
    </row>
    <row r="48" spans="1:75" ht="20.100000000000001" hidden="1" customHeight="1">
      <c r="A48" s="835" t="s">
        <v>762</v>
      </c>
      <c r="B48" s="678" t="s">
        <v>812</v>
      </c>
      <c r="C48" s="663">
        <f>H48+K48+N48+Q48+T48</f>
        <v>450</v>
      </c>
      <c r="D48" s="852"/>
      <c r="E48" s="661">
        <f t="shared" si="19"/>
        <v>0</v>
      </c>
      <c r="F48" s="661">
        <v>0</v>
      </c>
      <c r="G48" s="661"/>
      <c r="H48" s="661">
        <f t="shared" si="20"/>
        <v>0</v>
      </c>
      <c r="I48" s="661"/>
      <c r="J48" s="661"/>
      <c r="K48" s="661">
        <f t="shared" si="22"/>
        <v>0</v>
      </c>
      <c r="L48" s="661"/>
      <c r="M48" s="661"/>
      <c r="N48" s="661">
        <f t="shared" si="5"/>
        <v>0</v>
      </c>
      <c r="O48" s="661">
        <v>0</v>
      </c>
      <c r="P48" s="681"/>
      <c r="Q48" s="661">
        <f t="shared" si="21"/>
        <v>0</v>
      </c>
      <c r="R48" s="661"/>
      <c r="S48" s="681"/>
      <c r="T48" s="681">
        <f>U48</f>
        <v>450</v>
      </c>
      <c r="U48" s="681">
        <v>450</v>
      </c>
      <c r="V48" s="681"/>
      <c r="W48" s="679">
        <f t="shared" si="15"/>
        <v>450</v>
      </c>
      <c r="X48" s="680"/>
      <c r="Y48" s="680"/>
      <c r="Z48" s="680"/>
      <c r="AA48" s="1354"/>
      <c r="AC48" s="841"/>
      <c r="AG48" s="1186"/>
      <c r="AH48" s="1186"/>
      <c r="AI48" s="1186"/>
      <c r="AJ48" s="1186">
        <f t="shared" si="6"/>
        <v>0</v>
      </c>
      <c r="AK48" s="1186"/>
      <c r="AL48" s="1187"/>
      <c r="AM48" s="1188"/>
      <c r="AN48" s="1189"/>
      <c r="AO48" s="1189"/>
      <c r="AP48" s="842"/>
      <c r="AQ48" s="842"/>
      <c r="AR48" s="664"/>
      <c r="AS48" s="664"/>
      <c r="AT48" s="664"/>
      <c r="AU48" s="664"/>
      <c r="AV48" s="664"/>
      <c r="AW48" s="664"/>
      <c r="AX48" s="664"/>
      <c r="AY48" s="664"/>
      <c r="AZ48" s="664"/>
      <c r="BA48" s="664"/>
      <c r="BB48" s="664"/>
      <c r="BC48" s="664"/>
      <c r="BD48" s="664"/>
      <c r="BE48" s="664"/>
      <c r="BF48" s="664"/>
      <c r="BG48" s="664"/>
      <c r="BH48" s="664"/>
      <c r="BI48" s="664"/>
      <c r="BJ48" s="664"/>
      <c r="BK48" s="664"/>
      <c r="BL48" s="664"/>
      <c r="BM48" s="664"/>
      <c r="BN48" s="664"/>
      <c r="BO48" s="664"/>
      <c r="BP48" s="664"/>
      <c r="BQ48" s="664"/>
      <c r="BR48" s="664"/>
      <c r="BS48" s="664"/>
      <c r="BT48" s="664"/>
      <c r="BU48" s="664"/>
      <c r="BV48" s="664"/>
      <c r="BW48" s="664"/>
    </row>
    <row r="49" spans="1:75" ht="20.100000000000001" hidden="1" customHeight="1">
      <c r="A49" s="835" t="s">
        <v>763</v>
      </c>
      <c r="B49" s="678" t="s">
        <v>721</v>
      </c>
      <c r="C49" s="663">
        <f t="shared" si="12"/>
        <v>600</v>
      </c>
      <c r="D49" s="852"/>
      <c r="E49" s="661"/>
      <c r="F49" s="661"/>
      <c r="G49" s="661"/>
      <c r="H49" s="661">
        <f t="shared" si="20"/>
        <v>0</v>
      </c>
      <c r="I49" s="661"/>
      <c r="J49" s="661"/>
      <c r="K49" s="661">
        <f t="shared" si="22"/>
        <v>600</v>
      </c>
      <c r="L49" s="661">
        <v>600</v>
      </c>
      <c r="M49" s="661"/>
      <c r="N49" s="661">
        <f>O49+P49</f>
        <v>0</v>
      </c>
      <c r="O49" s="661">
        <v>0</v>
      </c>
      <c r="P49" s="681"/>
      <c r="Q49" s="661">
        <f t="shared" si="21"/>
        <v>0</v>
      </c>
      <c r="R49" s="661">
        <f>600*0</f>
        <v>0</v>
      </c>
      <c r="S49" s="681"/>
      <c r="T49" s="681"/>
      <c r="U49" s="681"/>
      <c r="V49" s="681"/>
      <c r="W49" s="679">
        <f t="shared" si="15"/>
        <v>600</v>
      </c>
      <c r="X49" s="680"/>
      <c r="Y49" s="680"/>
      <c r="Z49" s="680"/>
      <c r="AA49" s="1354"/>
      <c r="AC49" s="841"/>
      <c r="AG49" s="1186"/>
      <c r="AH49" s="1186"/>
      <c r="AI49" s="1186"/>
      <c r="AJ49" s="1186">
        <f t="shared" si="6"/>
        <v>0</v>
      </c>
      <c r="AK49" s="1186">
        <f t="shared" si="7"/>
        <v>0</v>
      </c>
      <c r="AL49" s="1187"/>
      <c r="AM49" s="1188"/>
      <c r="AN49" s="1189"/>
      <c r="AO49" s="1189"/>
      <c r="AP49" s="842"/>
      <c r="AQ49" s="842"/>
      <c r="AR49" s="664"/>
      <c r="AS49" s="664"/>
      <c r="AT49" s="664"/>
      <c r="AU49" s="664"/>
      <c r="AV49" s="664"/>
      <c r="AW49" s="664"/>
      <c r="AX49" s="664"/>
      <c r="AY49" s="664"/>
      <c r="AZ49" s="664"/>
      <c r="BA49" s="664"/>
      <c r="BB49" s="664"/>
      <c r="BC49" s="664"/>
      <c r="BD49" s="664"/>
      <c r="BE49" s="664"/>
      <c r="BF49" s="664"/>
      <c r="BG49" s="664"/>
      <c r="BH49" s="664"/>
      <c r="BI49" s="664"/>
      <c r="BJ49" s="664"/>
      <c r="BK49" s="664"/>
      <c r="BL49" s="664"/>
      <c r="BM49" s="664"/>
      <c r="BN49" s="664"/>
      <c r="BO49" s="664"/>
      <c r="BP49" s="664"/>
      <c r="BQ49" s="664"/>
      <c r="BR49" s="664"/>
      <c r="BS49" s="664"/>
      <c r="BT49" s="664"/>
      <c r="BU49" s="664"/>
      <c r="BV49" s="664"/>
      <c r="BW49" s="664"/>
    </row>
    <row r="50" spans="1:75" ht="20.100000000000001" hidden="1" customHeight="1" outlineLevel="1">
      <c r="A50" s="835"/>
      <c r="B50" s="678"/>
      <c r="C50" s="663">
        <f t="shared" si="12"/>
        <v>0</v>
      </c>
      <c r="D50" s="852"/>
      <c r="E50" s="661"/>
      <c r="F50" s="661"/>
      <c r="G50" s="661"/>
      <c r="H50" s="661"/>
      <c r="I50" s="661"/>
      <c r="J50" s="661"/>
      <c r="K50" s="661">
        <f t="shared" si="22"/>
        <v>0</v>
      </c>
      <c r="L50" s="661">
        <f>100*0</f>
        <v>0</v>
      </c>
      <c r="M50" s="661"/>
      <c r="N50" s="661">
        <f t="shared" ref="N50:N53" si="23">O50+P50</f>
        <v>0</v>
      </c>
      <c r="O50" s="661">
        <v>0</v>
      </c>
      <c r="P50" s="681"/>
      <c r="Q50" s="661">
        <f t="shared" si="21"/>
        <v>0</v>
      </c>
      <c r="R50" s="681"/>
      <c r="S50" s="681"/>
      <c r="T50" s="681"/>
      <c r="U50" s="681"/>
      <c r="V50" s="681"/>
      <c r="W50" s="679">
        <f t="shared" si="15"/>
        <v>0</v>
      </c>
      <c r="X50" s="680"/>
      <c r="Y50" s="680"/>
      <c r="Z50" s="680"/>
      <c r="AA50" s="1354"/>
      <c r="AC50" s="841"/>
      <c r="AG50" s="1186"/>
      <c r="AH50" s="1186"/>
      <c r="AI50" s="1186"/>
      <c r="AJ50" s="1186">
        <f t="shared" si="6"/>
        <v>0</v>
      </c>
      <c r="AK50" s="1186">
        <f t="shared" si="7"/>
        <v>0</v>
      </c>
      <c r="AL50" s="1187"/>
      <c r="AM50" s="1188"/>
      <c r="AN50" s="1189"/>
      <c r="AO50" s="1189"/>
      <c r="AP50" s="842"/>
      <c r="AQ50" s="842"/>
      <c r="AR50" s="664"/>
      <c r="AS50" s="664"/>
      <c r="AT50" s="664"/>
      <c r="AU50" s="664"/>
      <c r="AV50" s="664"/>
      <c r="AW50" s="664"/>
      <c r="AX50" s="664"/>
      <c r="AY50" s="664"/>
      <c r="AZ50" s="664"/>
      <c r="BA50" s="664"/>
      <c r="BB50" s="664"/>
      <c r="BC50" s="664"/>
      <c r="BD50" s="664"/>
      <c r="BE50" s="664"/>
      <c r="BF50" s="664"/>
      <c r="BG50" s="664"/>
      <c r="BH50" s="664"/>
      <c r="BI50" s="664"/>
      <c r="BJ50" s="664"/>
      <c r="BK50" s="664"/>
      <c r="BL50" s="664"/>
      <c r="BM50" s="664"/>
      <c r="BN50" s="664"/>
      <c r="BO50" s="664"/>
      <c r="BP50" s="664"/>
      <c r="BQ50" s="664"/>
      <c r="BR50" s="664"/>
      <c r="BS50" s="664"/>
      <c r="BT50" s="664"/>
      <c r="BU50" s="664"/>
      <c r="BV50" s="664"/>
      <c r="BW50" s="664"/>
    </row>
    <row r="51" spans="1:75" s="999" customFormat="1" ht="28.5" hidden="1" customHeight="1" collapsed="1">
      <c r="A51" s="835" t="s">
        <v>764</v>
      </c>
      <c r="B51" s="678" t="s">
        <v>939</v>
      </c>
      <c r="C51" s="663">
        <f t="shared" si="12"/>
        <v>4200</v>
      </c>
      <c r="D51" s="852"/>
      <c r="E51" s="661"/>
      <c r="F51" s="661"/>
      <c r="G51" s="661"/>
      <c r="H51" s="661"/>
      <c r="I51" s="661"/>
      <c r="J51" s="661"/>
      <c r="K51" s="661">
        <f>L51+M51</f>
        <v>0</v>
      </c>
      <c r="L51" s="661">
        <v>0</v>
      </c>
      <c r="M51" s="661"/>
      <c r="N51" s="661">
        <f t="shared" si="23"/>
        <v>0</v>
      </c>
      <c r="O51" s="661">
        <v>0</v>
      </c>
      <c r="P51" s="681"/>
      <c r="Q51" s="661">
        <f t="shared" si="21"/>
        <v>1100</v>
      </c>
      <c r="R51" s="661">
        <v>1100</v>
      </c>
      <c r="S51" s="681"/>
      <c r="T51" s="661">
        <f>U51+V51</f>
        <v>3100</v>
      </c>
      <c r="U51" s="661">
        <v>3100</v>
      </c>
      <c r="V51" s="681"/>
      <c r="W51" s="679">
        <f t="shared" si="15"/>
        <v>4200</v>
      </c>
      <c r="X51" s="680"/>
      <c r="Y51" s="680"/>
      <c r="Z51" s="680"/>
      <c r="AA51" s="1354"/>
      <c r="AB51" s="664"/>
      <c r="AC51" s="841"/>
      <c r="AD51" s="664"/>
      <c r="AE51" s="664"/>
      <c r="AF51" s="664"/>
      <c r="AG51" s="1186"/>
      <c r="AH51" s="1186"/>
      <c r="AI51" s="1186"/>
      <c r="AJ51" s="1186">
        <f t="shared" si="6"/>
        <v>0</v>
      </c>
      <c r="AK51" s="1186">
        <f t="shared" si="7"/>
        <v>0</v>
      </c>
      <c r="AL51" s="1209"/>
      <c r="AM51" s="1210"/>
      <c r="AN51" s="1211"/>
      <c r="AO51" s="1211"/>
      <c r="AP51" s="1212"/>
      <c r="AQ51" s="1212"/>
    </row>
    <row r="52" spans="1:75" ht="23.25" hidden="1" customHeight="1">
      <c r="A52" s="835"/>
      <c r="B52" s="678"/>
      <c r="C52" s="663">
        <f t="shared" si="12"/>
        <v>0</v>
      </c>
      <c r="D52" s="852"/>
      <c r="E52" s="661"/>
      <c r="F52" s="661"/>
      <c r="G52" s="661"/>
      <c r="H52" s="661"/>
      <c r="I52" s="661"/>
      <c r="J52" s="661"/>
      <c r="K52" s="661">
        <f>L52+M52</f>
        <v>0</v>
      </c>
      <c r="L52" s="661">
        <v>0</v>
      </c>
      <c r="M52" s="661"/>
      <c r="N52" s="661">
        <f t="shared" si="23"/>
        <v>0</v>
      </c>
      <c r="O52" s="661">
        <v>0</v>
      </c>
      <c r="P52" s="681"/>
      <c r="Q52" s="661">
        <f t="shared" si="21"/>
        <v>0</v>
      </c>
      <c r="R52" s="661"/>
      <c r="S52" s="681"/>
      <c r="T52" s="681"/>
      <c r="U52" s="681"/>
      <c r="V52" s="681"/>
      <c r="W52" s="679">
        <f t="shared" si="15"/>
        <v>0</v>
      </c>
      <c r="X52" s="680"/>
      <c r="Y52" s="680"/>
      <c r="Z52" s="680"/>
      <c r="AA52" s="1354"/>
      <c r="AC52" s="841"/>
      <c r="AG52" s="1186"/>
      <c r="AH52" s="1186"/>
      <c r="AI52" s="1186"/>
      <c r="AJ52" s="1186">
        <f t="shared" si="6"/>
        <v>0</v>
      </c>
      <c r="AK52" s="1186">
        <f t="shared" si="7"/>
        <v>0</v>
      </c>
      <c r="AL52" s="1187"/>
      <c r="AM52" s="1188"/>
      <c r="AN52" s="1189"/>
      <c r="AO52" s="1189"/>
      <c r="AP52" s="842"/>
      <c r="AQ52" s="842"/>
      <c r="AR52" s="664"/>
      <c r="AS52" s="664"/>
      <c r="AT52" s="664"/>
      <c r="AU52" s="664"/>
      <c r="AV52" s="664"/>
      <c r="AW52" s="664"/>
      <c r="AX52" s="664"/>
      <c r="AY52" s="664"/>
      <c r="AZ52" s="664"/>
      <c r="BA52" s="664"/>
      <c r="BB52" s="664"/>
      <c r="BC52" s="664"/>
      <c r="BD52" s="664"/>
      <c r="BE52" s="664"/>
      <c r="BF52" s="664"/>
      <c r="BG52" s="664"/>
      <c r="BH52" s="664"/>
      <c r="BI52" s="664"/>
      <c r="BJ52" s="664"/>
      <c r="BK52" s="664"/>
      <c r="BL52" s="664"/>
      <c r="BM52" s="664"/>
      <c r="BN52" s="664"/>
      <c r="BO52" s="664"/>
      <c r="BP52" s="664"/>
      <c r="BQ52" s="664"/>
      <c r="BR52" s="664"/>
      <c r="BS52" s="664"/>
      <c r="BT52" s="664"/>
      <c r="BU52" s="664"/>
      <c r="BV52" s="664"/>
      <c r="BW52" s="664"/>
    </row>
    <row r="53" spans="1:75" ht="27" hidden="1" customHeight="1">
      <c r="A53" s="835" t="s">
        <v>765</v>
      </c>
      <c r="B53" s="678" t="s">
        <v>940</v>
      </c>
      <c r="C53" s="663">
        <f t="shared" si="12"/>
        <v>2270</v>
      </c>
      <c r="D53" s="852"/>
      <c r="E53" s="661"/>
      <c r="F53" s="661"/>
      <c r="G53" s="661"/>
      <c r="H53" s="661">
        <f>I53+J53</f>
        <v>420</v>
      </c>
      <c r="I53" s="661">
        <v>420</v>
      </c>
      <c r="J53" s="661"/>
      <c r="K53" s="661">
        <f>L53+M53</f>
        <v>730</v>
      </c>
      <c r="L53" s="661">
        <v>730</v>
      </c>
      <c r="M53" s="661"/>
      <c r="N53" s="661">
        <f t="shared" si="23"/>
        <v>0</v>
      </c>
      <c r="O53" s="661"/>
      <c r="P53" s="681"/>
      <c r="Q53" s="693">
        <f t="shared" si="21"/>
        <v>560</v>
      </c>
      <c r="R53" s="693">
        <v>560</v>
      </c>
      <c r="S53" s="693"/>
      <c r="T53" s="693">
        <f>U53+V53</f>
        <v>560</v>
      </c>
      <c r="U53" s="693">
        <v>560</v>
      </c>
      <c r="V53" s="681"/>
      <c r="W53" s="679">
        <f t="shared" si="15"/>
        <v>2270</v>
      </c>
      <c r="X53" s="680"/>
      <c r="Y53" s="680"/>
      <c r="Z53" s="680"/>
      <c r="AA53" s="1354"/>
      <c r="AC53" s="841"/>
      <c r="AG53" s="1186"/>
      <c r="AH53" s="1186"/>
      <c r="AI53" s="1186"/>
      <c r="AJ53" s="1186">
        <f t="shared" si="6"/>
        <v>0</v>
      </c>
      <c r="AK53" s="1186">
        <f t="shared" si="7"/>
        <v>0</v>
      </c>
      <c r="AL53" s="1187"/>
      <c r="AM53" s="1188"/>
      <c r="AN53" s="1189"/>
      <c r="AO53" s="1189"/>
      <c r="AP53" s="842"/>
      <c r="AQ53" s="842"/>
      <c r="AR53" s="664"/>
      <c r="AS53" s="664"/>
      <c r="AT53" s="664"/>
      <c r="AU53" s="664"/>
      <c r="AV53" s="664"/>
      <c r="AW53" s="664"/>
      <c r="AX53" s="664"/>
      <c r="AY53" s="664"/>
      <c r="AZ53" s="664"/>
      <c r="BA53" s="664"/>
      <c r="BB53" s="664"/>
      <c r="BC53" s="664"/>
      <c r="BD53" s="664"/>
      <c r="BE53" s="664"/>
      <c r="BF53" s="664"/>
      <c r="BG53" s="664"/>
      <c r="BH53" s="664"/>
      <c r="BI53" s="664"/>
      <c r="BJ53" s="664"/>
      <c r="BK53" s="664"/>
      <c r="BL53" s="664"/>
      <c r="BM53" s="664"/>
      <c r="BN53" s="664"/>
      <c r="BO53" s="664"/>
      <c r="BP53" s="664"/>
      <c r="BQ53" s="664"/>
      <c r="BR53" s="664"/>
      <c r="BS53" s="664"/>
      <c r="BT53" s="664"/>
      <c r="BU53" s="664"/>
      <c r="BV53" s="664"/>
      <c r="BW53" s="664"/>
    </row>
    <row r="54" spans="1:75" ht="20.100000000000001" hidden="1" customHeight="1" outlineLevel="1">
      <c r="A54" s="835"/>
      <c r="B54" s="678"/>
      <c r="C54" s="663"/>
      <c r="D54" s="852"/>
      <c r="E54" s="661"/>
      <c r="F54" s="661"/>
      <c r="G54" s="661"/>
      <c r="H54" s="661"/>
      <c r="I54" s="661"/>
      <c r="J54" s="661"/>
      <c r="K54" s="661"/>
      <c r="L54" s="661"/>
      <c r="M54" s="661"/>
      <c r="N54" s="661"/>
      <c r="O54" s="661"/>
      <c r="P54" s="681"/>
      <c r="Q54" s="681"/>
      <c r="R54" s="661"/>
      <c r="S54" s="681"/>
      <c r="T54" s="681"/>
      <c r="U54" s="681"/>
      <c r="V54" s="681"/>
      <c r="W54" s="679"/>
      <c r="X54" s="680"/>
      <c r="Y54" s="680"/>
      <c r="Z54" s="680"/>
      <c r="AA54" s="1177"/>
      <c r="AC54" s="841"/>
      <c r="AG54" s="1186"/>
      <c r="AH54" s="1186"/>
      <c r="AI54" s="1186"/>
      <c r="AJ54" s="1186"/>
      <c r="AK54" s="1186"/>
      <c r="AL54" s="1187"/>
      <c r="AM54" s="1188"/>
      <c r="AN54" s="1189"/>
      <c r="AO54" s="1189"/>
      <c r="AP54" s="842"/>
      <c r="AQ54" s="842"/>
      <c r="AR54" s="664"/>
      <c r="AS54" s="664"/>
      <c r="AT54" s="664"/>
      <c r="AU54" s="664"/>
      <c r="AV54" s="664"/>
      <c r="AW54" s="664"/>
      <c r="AX54" s="664"/>
      <c r="AY54" s="664"/>
      <c r="AZ54" s="664"/>
      <c r="BA54" s="664"/>
      <c r="BB54" s="664"/>
      <c r="BC54" s="664"/>
      <c r="BD54" s="664"/>
      <c r="BE54" s="664"/>
      <c r="BF54" s="664"/>
      <c r="BG54" s="664"/>
      <c r="BH54" s="664"/>
      <c r="BI54" s="664"/>
      <c r="BJ54" s="664"/>
      <c r="BK54" s="664"/>
      <c r="BL54" s="664"/>
      <c r="BM54" s="664"/>
      <c r="BN54" s="664"/>
      <c r="BO54" s="664"/>
      <c r="BP54" s="664"/>
      <c r="BQ54" s="664"/>
      <c r="BR54" s="664"/>
      <c r="BS54" s="664"/>
      <c r="BT54" s="664"/>
      <c r="BU54" s="664"/>
      <c r="BV54" s="664"/>
      <c r="BW54" s="664"/>
    </row>
    <row r="55" spans="1:75" ht="20.100000000000001" hidden="1" customHeight="1" outlineLevel="1">
      <c r="A55" s="835"/>
      <c r="B55" s="678"/>
      <c r="C55" s="663"/>
      <c r="D55" s="852"/>
      <c r="E55" s="661"/>
      <c r="F55" s="661"/>
      <c r="G55" s="661"/>
      <c r="H55" s="661"/>
      <c r="I55" s="661"/>
      <c r="J55" s="661"/>
      <c r="K55" s="661"/>
      <c r="L55" s="661"/>
      <c r="M55" s="661"/>
      <c r="N55" s="661"/>
      <c r="O55" s="661"/>
      <c r="P55" s="681"/>
      <c r="Q55" s="681"/>
      <c r="R55" s="661"/>
      <c r="S55" s="681"/>
      <c r="T55" s="681"/>
      <c r="U55" s="681"/>
      <c r="V55" s="681"/>
      <c r="W55" s="679"/>
      <c r="X55" s="680"/>
      <c r="Y55" s="680"/>
      <c r="Z55" s="680"/>
      <c r="AA55" s="1177"/>
      <c r="AC55" s="841"/>
      <c r="AG55" s="1186"/>
      <c r="AH55" s="1186"/>
      <c r="AI55" s="1186"/>
      <c r="AJ55" s="1186"/>
      <c r="AK55" s="1186"/>
      <c r="AL55" s="1187"/>
      <c r="AM55" s="1188"/>
      <c r="AN55" s="1189"/>
      <c r="AO55" s="1189"/>
      <c r="AP55" s="842"/>
      <c r="AQ55" s="842"/>
      <c r="AR55" s="664"/>
      <c r="AS55" s="664"/>
      <c r="AT55" s="664"/>
      <c r="AU55" s="664"/>
      <c r="AV55" s="664"/>
      <c r="AW55" s="664"/>
      <c r="AX55" s="664"/>
      <c r="AY55" s="664"/>
      <c r="AZ55" s="664"/>
      <c r="BA55" s="664"/>
      <c r="BB55" s="664"/>
      <c r="BC55" s="664"/>
      <c r="BD55" s="664"/>
      <c r="BE55" s="664"/>
      <c r="BF55" s="664"/>
      <c r="BG55" s="664"/>
      <c r="BH55" s="664"/>
      <c r="BI55" s="664"/>
      <c r="BJ55" s="664"/>
      <c r="BK55" s="664"/>
      <c r="BL55" s="664"/>
      <c r="BM55" s="664"/>
      <c r="BN55" s="664"/>
      <c r="BO55" s="664"/>
      <c r="BP55" s="664"/>
      <c r="BQ55" s="664"/>
      <c r="BR55" s="664"/>
      <c r="BS55" s="664"/>
      <c r="BT55" s="664"/>
      <c r="BU55" s="664"/>
      <c r="BV55" s="664"/>
      <c r="BW55" s="664"/>
    </row>
    <row r="56" spans="1:75" ht="20.100000000000001" hidden="1" customHeight="1" collapsed="1">
      <c r="A56" s="835" t="s">
        <v>766</v>
      </c>
      <c r="B56" s="678" t="s">
        <v>830</v>
      </c>
      <c r="C56" s="663">
        <f t="shared" si="12"/>
        <v>470</v>
      </c>
      <c r="D56" s="852"/>
      <c r="E56" s="661"/>
      <c r="F56" s="661"/>
      <c r="G56" s="661"/>
      <c r="H56" s="661"/>
      <c r="I56" s="661"/>
      <c r="J56" s="661"/>
      <c r="K56" s="661">
        <f>L56+M56</f>
        <v>470</v>
      </c>
      <c r="L56" s="661">
        <v>470</v>
      </c>
      <c r="M56" s="661"/>
      <c r="N56" s="661"/>
      <c r="O56" s="661"/>
      <c r="P56" s="681"/>
      <c r="Q56" s="681"/>
      <c r="R56" s="661"/>
      <c r="S56" s="681"/>
      <c r="T56" s="681">
        <f>U56+V56</f>
        <v>0</v>
      </c>
      <c r="U56" s="681"/>
      <c r="V56" s="661"/>
      <c r="W56" s="679">
        <f t="shared" si="15"/>
        <v>470</v>
      </c>
      <c r="X56" s="680"/>
      <c r="Y56" s="680"/>
      <c r="Z56" s="680"/>
      <c r="AA56" s="1177"/>
      <c r="AC56" s="841"/>
      <c r="AG56" s="1186"/>
      <c r="AH56" s="1186"/>
      <c r="AI56" s="1186"/>
      <c r="AJ56" s="1186"/>
      <c r="AK56" s="1186"/>
      <c r="AL56" s="1187"/>
      <c r="AM56" s="1188"/>
      <c r="AN56" s="1189"/>
      <c r="AO56" s="1189"/>
      <c r="AP56" s="842"/>
      <c r="AQ56" s="842"/>
      <c r="AR56" s="664"/>
      <c r="AS56" s="664"/>
      <c r="AT56" s="664"/>
      <c r="AU56" s="664"/>
      <c r="AV56" s="664"/>
      <c r="AW56" s="664"/>
      <c r="AX56" s="664"/>
      <c r="AY56" s="664"/>
      <c r="AZ56" s="664"/>
      <c r="BA56" s="664"/>
      <c r="BB56" s="664"/>
      <c r="BC56" s="664"/>
      <c r="BD56" s="664"/>
      <c r="BE56" s="664"/>
      <c r="BF56" s="664"/>
      <c r="BG56" s="664"/>
      <c r="BH56" s="664"/>
      <c r="BI56" s="664"/>
      <c r="BJ56" s="664"/>
      <c r="BK56" s="664"/>
      <c r="BL56" s="664"/>
      <c r="BM56" s="664"/>
      <c r="BN56" s="664"/>
      <c r="BO56" s="664"/>
      <c r="BP56" s="664"/>
      <c r="BQ56" s="664"/>
      <c r="BR56" s="664"/>
      <c r="BS56" s="664"/>
      <c r="BT56" s="664"/>
      <c r="BU56" s="664"/>
      <c r="BV56" s="664"/>
      <c r="BW56" s="664"/>
    </row>
    <row r="57" spans="1:75" ht="20.100000000000001" hidden="1" customHeight="1" outlineLevel="1">
      <c r="A57" s="835"/>
      <c r="B57" s="678"/>
      <c r="C57" s="663">
        <f>H57+K57+N57+Q57+T57</f>
        <v>0</v>
      </c>
      <c r="D57" s="852"/>
      <c r="E57" s="661"/>
      <c r="F57" s="661"/>
      <c r="G57" s="661"/>
      <c r="H57" s="661"/>
      <c r="I57" s="661"/>
      <c r="J57" s="661"/>
      <c r="K57" s="661"/>
      <c r="L57" s="661"/>
      <c r="M57" s="661"/>
      <c r="N57" s="661"/>
      <c r="O57" s="661"/>
      <c r="P57" s="681"/>
      <c r="Q57" s="681"/>
      <c r="R57" s="661"/>
      <c r="S57" s="681"/>
      <c r="T57" s="661"/>
      <c r="U57" s="681"/>
      <c r="V57" s="661"/>
      <c r="W57" s="679"/>
      <c r="X57" s="680"/>
      <c r="Y57" s="680"/>
      <c r="Z57" s="680"/>
      <c r="AA57" s="1177"/>
      <c r="AC57" s="841"/>
      <c r="AG57" s="1186"/>
      <c r="AH57" s="1186"/>
      <c r="AI57" s="1186"/>
      <c r="AJ57" s="1186"/>
      <c r="AK57" s="1186"/>
      <c r="AL57" s="1187"/>
      <c r="AM57" s="1188"/>
      <c r="AN57" s="1189"/>
      <c r="AO57" s="1189"/>
      <c r="AP57" s="842"/>
      <c r="AQ57" s="842"/>
      <c r="AR57" s="664"/>
      <c r="AS57" s="664"/>
      <c r="AT57" s="664"/>
      <c r="AU57" s="664"/>
      <c r="AV57" s="664"/>
      <c r="AW57" s="664"/>
      <c r="AX57" s="664"/>
      <c r="AY57" s="664"/>
      <c r="AZ57" s="664"/>
      <c r="BA57" s="664"/>
      <c r="BB57" s="664"/>
      <c r="BC57" s="664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  <c r="BQ57" s="664"/>
      <c r="BR57" s="664"/>
      <c r="BS57" s="664"/>
      <c r="BT57" s="664"/>
      <c r="BU57" s="664"/>
      <c r="BV57" s="664"/>
      <c r="BW57" s="664"/>
    </row>
    <row r="58" spans="1:75" ht="20.100000000000001" hidden="1" customHeight="1" collapsed="1">
      <c r="A58" s="835" t="s">
        <v>767</v>
      </c>
      <c r="B58" s="678" t="s">
        <v>831</v>
      </c>
      <c r="C58" s="663">
        <f t="shared" si="12"/>
        <v>100</v>
      </c>
      <c r="D58" s="852"/>
      <c r="E58" s="661"/>
      <c r="F58" s="661"/>
      <c r="G58" s="661"/>
      <c r="H58" s="661"/>
      <c r="I58" s="661"/>
      <c r="J58" s="661"/>
      <c r="K58" s="661"/>
      <c r="L58" s="661"/>
      <c r="M58" s="661"/>
      <c r="N58" s="661">
        <f>O58+P58</f>
        <v>100</v>
      </c>
      <c r="O58" s="661">
        <v>100</v>
      </c>
      <c r="P58" s="681"/>
      <c r="Q58" s="681"/>
      <c r="R58" s="661"/>
      <c r="S58" s="681"/>
      <c r="T58" s="681"/>
      <c r="U58" s="681"/>
      <c r="V58" s="681"/>
      <c r="W58" s="679">
        <f t="shared" si="15"/>
        <v>100</v>
      </c>
      <c r="X58" s="680"/>
      <c r="Y58" s="680"/>
      <c r="Z58" s="680"/>
      <c r="AA58" s="1177"/>
      <c r="AC58" s="841"/>
      <c r="AG58" s="1186"/>
      <c r="AH58" s="1186"/>
      <c r="AI58" s="1186"/>
      <c r="AJ58" s="1186"/>
      <c r="AK58" s="1186"/>
      <c r="AL58" s="1187"/>
      <c r="AM58" s="1188"/>
      <c r="AN58" s="1189"/>
      <c r="AO58" s="1189"/>
      <c r="AP58" s="842"/>
      <c r="AQ58" s="842"/>
      <c r="AR58" s="664"/>
      <c r="AS58" s="664"/>
      <c r="AT58" s="664"/>
      <c r="AU58" s="664"/>
      <c r="AV58" s="664"/>
      <c r="AW58" s="664"/>
      <c r="AX58" s="664"/>
      <c r="AY58" s="664"/>
      <c r="AZ58" s="664"/>
      <c r="BA58" s="664"/>
      <c r="BB58" s="664"/>
      <c r="BC58" s="664"/>
      <c r="BD58" s="664"/>
      <c r="BE58" s="664"/>
      <c r="BF58" s="664"/>
      <c r="BG58" s="664"/>
      <c r="BH58" s="664"/>
      <c r="BI58" s="664"/>
      <c r="BJ58" s="664"/>
      <c r="BK58" s="664"/>
      <c r="BL58" s="664"/>
      <c r="BM58" s="664"/>
      <c r="BN58" s="664"/>
      <c r="BO58" s="664"/>
      <c r="BP58" s="664"/>
      <c r="BQ58" s="664"/>
      <c r="BR58" s="664"/>
      <c r="BS58" s="664"/>
      <c r="BT58" s="664"/>
      <c r="BU58" s="664"/>
      <c r="BV58" s="664"/>
      <c r="BW58" s="664"/>
    </row>
    <row r="59" spans="1:75" ht="20.100000000000001" hidden="1" customHeight="1">
      <c r="A59" s="835" t="s">
        <v>768</v>
      </c>
      <c r="B59" s="678" t="s">
        <v>926</v>
      </c>
      <c r="C59" s="663">
        <f t="shared" si="12"/>
        <v>700</v>
      </c>
      <c r="D59" s="852"/>
      <c r="E59" s="661"/>
      <c r="F59" s="661"/>
      <c r="G59" s="661"/>
      <c r="H59" s="661"/>
      <c r="I59" s="661"/>
      <c r="J59" s="661"/>
      <c r="K59" s="661"/>
      <c r="L59" s="661"/>
      <c r="M59" s="661"/>
      <c r="N59" s="661">
        <f>O59+P59</f>
        <v>0</v>
      </c>
      <c r="O59" s="661"/>
      <c r="P59" s="681"/>
      <c r="Q59" s="661">
        <f>R59+S59</f>
        <v>300</v>
      </c>
      <c r="R59" s="661">
        <v>300</v>
      </c>
      <c r="S59" s="661"/>
      <c r="T59" s="661">
        <f>U59+V59</f>
        <v>400</v>
      </c>
      <c r="U59" s="661">
        <v>400</v>
      </c>
      <c r="V59" s="681"/>
      <c r="W59" s="679">
        <f t="shared" si="15"/>
        <v>700</v>
      </c>
      <c r="X59" s="680"/>
      <c r="Y59" s="680"/>
      <c r="Z59" s="680"/>
      <c r="AA59" s="1177"/>
      <c r="AC59" s="841"/>
      <c r="AG59" s="1186"/>
      <c r="AH59" s="1186"/>
      <c r="AI59" s="1186"/>
      <c r="AJ59" s="1186"/>
      <c r="AK59" s="1186"/>
      <c r="AL59" s="1187"/>
      <c r="AM59" s="1188"/>
      <c r="AN59" s="1189"/>
      <c r="AO59" s="1189"/>
      <c r="AP59" s="842"/>
      <c r="AQ59" s="842"/>
      <c r="AR59" s="664"/>
      <c r="AS59" s="664"/>
      <c r="AT59" s="664"/>
      <c r="AU59" s="664"/>
      <c r="AV59" s="664"/>
      <c r="AW59" s="664"/>
      <c r="AX59" s="664"/>
      <c r="AY59" s="664"/>
      <c r="AZ59" s="664"/>
      <c r="BA59" s="664"/>
      <c r="BB59" s="664"/>
      <c r="BC59" s="664"/>
      <c r="BD59" s="664"/>
      <c r="BE59" s="664"/>
      <c r="BF59" s="664"/>
      <c r="BG59" s="664"/>
      <c r="BH59" s="664"/>
      <c r="BI59" s="664"/>
      <c r="BJ59" s="664"/>
      <c r="BK59" s="664"/>
      <c r="BL59" s="664"/>
      <c r="BM59" s="664"/>
      <c r="BN59" s="664"/>
      <c r="BO59" s="664"/>
      <c r="BP59" s="664"/>
      <c r="BQ59" s="664"/>
      <c r="BR59" s="664"/>
      <c r="BS59" s="664"/>
      <c r="BT59" s="664"/>
      <c r="BU59" s="664"/>
      <c r="BV59" s="664"/>
      <c r="BW59" s="664"/>
    </row>
    <row r="60" spans="1:75" ht="20.100000000000001" hidden="1" customHeight="1">
      <c r="A60" s="835" t="s">
        <v>769</v>
      </c>
      <c r="B60" s="678" t="s">
        <v>927</v>
      </c>
      <c r="C60" s="663">
        <f t="shared" si="12"/>
        <v>110</v>
      </c>
      <c r="D60" s="852"/>
      <c r="E60" s="661"/>
      <c r="F60" s="661"/>
      <c r="G60" s="661"/>
      <c r="H60" s="661">
        <f>I60</f>
        <v>110</v>
      </c>
      <c r="I60" s="661">
        <v>110</v>
      </c>
      <c r="J60" s="661"/>
      <c r="K60" s="661">
        <f t="shared" si="22"/>
        <v>0</v>
      </c>
      <c r="L60" s="661">
        <v>0</v>
      </c>
      <c r="M60" s="661"/>
      <c r="N60" s="661"/>
      <c r="O60" s="661"/>
      <c r="P60" s="681"/>
      <c r="Q60" s="681"/>
      <c r="R60" s="681"/>
      <c r="S60" s="681"/>
      <c r="T60" s="681"/>
      <c r="U60" s="681"/>
      <c r="V60" s="681"/>
      <c r="W60" s="679">
        <f t="shared" si="15"/>
        <v>110</v>
      </c>
      <c r="X60" s="680"/>
      <c r="Y60" s="680"/>
      <c r="Z60" s="680"/>
      <c r="AA60" s="1177"/>
      <c r="AC60" s="841"/>
      <c r="AG60" s="1186"/>
      <c r="AH60" s="1186"/>
      <c r="AI60" s="1186"/>
      <c r="AJ60" s="1186">
        <f t="shared" si="6"/>
        <v>0</v>
      </c>
      <c r="AK60" s="1186">
        <f t="shared" si="7"/>
        <v>0</v>
      </c>
      <c r="AL60" s="1187"/>
      <c r="AM60" s="1188"/>
      <c r="AN60" s="1189"/>
      <c r="AO60" s="1189"/>
      <c r="AP60" s="842"/>
      <c r="AQ60" s="842"/>
      <c r="AR60" s="664"/>
      <c r="AS60" s="664"/>
      <c r="AT60" s="664"/>
      <c r="AU60" s="664"/>
      <c r="AV60" s="664"/>
      <c r="AW60" s="664"/>
      <c r="AX60" s="664"/>
      <c r="AY60" s="664"/>
      <c r="AZ60" s="664"/>
      <c r="BA60" s="664"/>
      <c r="BB60" s="664"/>
      <c r="BC60" s="664"/>
      <c r="BD60" s="664"/>
      <c r="BE60" s="664"/>
      <c r="BF60" s="664"/>
      <c r="BG60" s="664"/>
      <c r="BH60" s="664"/>
      <c r="BI60" s="664"/>
      <c r="BJ60" s="664"/>
      <c r="BK60" s="664"/>
      <c r="BL60" s="664"/>
      <c r="BM60" s="664"/>
      <c r="BN60" s="664"/>
      <c r="BO60" s="664"/>
      <c r="BP60" s="664"/>
      <c r="BQ60" s="664"/>
      <c r="BR60" s="664"/>
      <c r="BS60" s="664"/>
      <c r="BT60" s="664"/>
      <c r="BU60" s="664"/>
      <c r="BV60" s="664"/>
      <c r="BW60" s="664"/>
    </row>
    <row r="61" spans="1:75" s="836" customFormat="1">
      <c r="A61" s="1476" t="s">
        <v>122</v>
      </c>
      <c r="B61" s="1477"/>
      <c r="C61" s="679">
        <f t="shared" si="12"/>
        <v>37245</v>
      </c>
      <c r="D61" s="691">
        <f>D20+D21+D25+D26</f>
        <v>2849</v>
      </c>
      <c r="E61" s="681">
        <f>F61+G61</f>
        <v>5145</v>
      </c>
      <c r="F61" s="691">
        <f>F20+F21+F22+F23+F24+F25+F26</f>
        <v>5145</v>
      </c>
      <c r="G61" s="691">
        <f>G20+G21+G22+G23+G24+G25+G26</f>
        <v>0</v>
      </c>
      <c r="H61" s="681">
        <f>I61+J61</f>
        <v>9860</v>
      </c>
      <c r="I61" s="691">
        <f>I20+I21+I22+I23+I24+I25+I26</f>
        <v>9860</v>
      </c>
      <c r="J61" s="691">
        <f>J20+J21+J22+J23+J24+J25+J26</f>
        <v>0</v>
      </c>
      <c r="K61" s="681">
        <f>L61+M61</f>
        <v>8320</v>
      </c>
      <c r="L61" s="691">
        <f>L20+L21+L22+L23+L24+L25+L26</f>
        <v>8320</v>
      </c>
      <c r="M61" s="691">
        <f>M20+M21+M22+M23+M24+M25+M26</f>
        <v>0</v>
      </c>
      <c r="N61" s="681">
        <f t="shared" si="5"/>
        <v>3365</v>
      </c>
      <c r="O61" s="691">
        <f>O20+O21+O22+O23+O24+O25+O26</f>
        <v>3365</v>
      </c>
      <c r="P61" s="691">
        <f>P20+P21+P22+P23+P24+P25+P26</f>
        <v>0</v>
      </c>
      <c r="Q61" s="690">
        <f>R61+S61</f>
        <v>7550</v>
      </c>
      <c r="R61" s="691">
        <f>R20+R21+R22+R23+R24+R25+R26</f>
        <v>7550</v>
      </c>
      <c r="S61" s="691">
        <f>S20+S21+S22+S23+S24+S25+S26</f>
        <v>0</v>
      </c>
      <c r="T61" s="691">
        <f>U61+V61</f>
        <v>8150</v>
      </c>
      <c r="U61" s="691">
        <f>U20+U21+U22+U23+U24+U25+U26</f>
        <v>8150</v>
      </c>
      <c r="V61" s="691">
        <f>V20+V21+V22+V23+V24+V25+V26</f>
        <v>0</v>
      </c>
      <c r="W61" s="679">
        <f t="shared" si="15"/>
        <v>37245</v>
      </c>
      <c r="X61" s="681" t="e">
        <f>Y61+Z61</f>
        <v>#REF!</v>
      </c>
      <c r="Y61" s="690" t="e">
        <f>#REF!+#REF!+Y20+#REF!+#REF!+Y22+#REF!+Y24+#REF!</f>
        <v>#REF!</v>
      </c>
      <c r="Z61" s="690" t="e">
        <f>#REF!+#REF!+Z20+#REF!+#REF!+Z22+#REF!+Z24+#REF!</f>
        <v>#REF!</v>
      </c>
      <c r="AA61" s="1003"/>
      <c r="AC61" s="841" t="e">
        <f>#REF!+E61+H61+K61+N61</f>
        <v>#REF!</v>
      </c>
      <c r="AG61" s="1050"/>
      <c r="AH61" s="1050"/>
      <c r="AI61" s="1050"/>
      <c r="AJ61" s="1050">
        <f t="shared" si="6"/>
        <v>0</v>
      </c>
      <c r="AK61" s="1050">
        <f t="shared" si="7"/>
        <v>0</v>
      </c>
      <c r="AL61" s="1051"/>
      <c r="AM61" s="1061"/>
      <c r="AN61" s="1037"/>
      <c r="AO61" s="1037"/>
      <c r="AP61" s="1029"/>
      <c r="AQ61" s="1030"/>
      <c r="AR61" s="1021"/>
      <c r="AS61" s="1021"/>
      <c r="AT61" s="1021"/>
      <c r="AU61" s="1021"/>
      <c r="AV61" s="1021"/>
      <c r="AW61" s="1021"/>
      <c r="AX61" s="1021"/>
      <c r="AY61" s="1021"/>
      <c r="AZ61" s="1021"/>
      <c r="BA61" s="1021"/>
      <c r="BB61" s="1021"/>
      <c r="BC61" s="1021"/>
      <c r="BD61" s="1021"/>
      <c r="BE61" s="1021"/>
      <c r="BF61" s="1021"/>
      <c r="BG61" s="1021"/>
      <c r="BH61" s="1021"/>
      <c r="BI61" s="1021"/>
      <c r="BJ61" s="1021"/>
      <c r="BK61" s="1021"/>
      <c r="BL61" s="1021"/>
      <c r="BM61" s="1021"/>
      <c r="BN61" s="1021"/>
      <c r="BO61" s="1021"/>
      <c r="BP61" s="1021"/>
      <c r="BQ61" s="1021"/>
      <c r="BR61" s="1021"/>
      <c r="BS61" s="1021"/>
      <c r="BT61" s="1021"/>
      <c r="BU61" s="1021"/>
      <c r="BV61" s="1021"/>
      <c r="BW61" s="1021"/>
    </row>
    <row r="62" spans="1:75">
      <c r="A62" s="1479" t="s">
        <v>167</v>
      </c>
      <c r="B62" s="1480"/>
      <c r="C62" s="1480"/>
      <c r="D62" s="1480"/>
      <c r="E62" s="1480"/>
      <c r="F62" s="1480"/>
      <c r="G62" s="1480"/>
      <c r="H62" s="1480"/>
      <c r="I62" s="1480"/>
      <c r="J62" s="1480"/>
      <c r="K62" s="1480"/>
      <c r="L62" s="1480"/>
      <c r="M62" s="1480"/>
      <c r="N62" s="1441"/>
      <c r="O62" s="1441"/>
      <c r="P62" s="1441"/>
      <c r="Q62" s="1441"/>
      <c r="R62" s="1441"/>
      <c r="S62" s="1441"/>
      <c r="T62" s="1441"/>
      <c r="U62" s="1441"/>
      <c r="V62" s="1441"/>
      <c r="W62" s="1016">
        <f t="shared" si="15"/>
        <v>0</v>
      </c>
      <c r="X62" s="699"/>
      <c r="Y62" s="699"/>
      <c r="Z62" s="699"/>
      <c r="AA62" s="1001"/>
      <c r="AC62" s="841" t="e">
        <f>#REF!+E62+H62+K62+N62</f>
        <v>#REF!</v>
      </c>
      <c r="AJ62" s="1050">
        <f t="shared" si="6"/>
        <v>0</v>
      </c>
      <c r="AK62" s="1050">
        <f t="shared" si="7"/>
        <v>0</v>
      </c>
      <c r="AM62" s="1061"/>
    </row>
    <row r="63" spans="1:75" s="1425" customFormat="1" ht="20.100000000000001" customHeight="1">
      <c r="A63" s="1421">
        <v>13</v>
      </c>
      <c r="B63" s="669" t="s">
        <v>685</v>
      </c>
      <c r="C63" s="663">
        <f>H63+K63+N63+Q63+T63</f>
        <v>5287</v>
      </c>
      <c r="D63" s="1421">
        <f>SUM(D64:D65)</f>
        <v>0</v>
      </c>
      <c r="E63" s="661">
        <f>F63+G63</f>
        <v>5117</v>
      </c>
      <c r="F63" s="682">
        <f>SUM(F64:F75)</f>
        <v>5117</v>
      </c>
      <c r="G63" s="682">
        <f>SUM(G64:G75)</f>
        <v>0</v>
      </c>
      <c r="H63" s="661">
        <f>I63+J63</f>
        <v>140</v>
      </c>
      <c r="I63" s="682">
        <f>SUM(I64:I75)</f>
        <v>140</v>
      </c>
      <c r="J63" s="682">
        <f>SUM(J64:J75)</f>
        <v>0</v>
      </c>
      <c r="K63" s="661">
        <f>L63+M63</f>
        <v>2577</v>
      </c>
      <c r="L63" s="682">
        <f>SUM(L64:L75)</f>
        <v>2577</v>
      </c>
      <c r="M63" s="682">
        <f>SUM(M64:M75)</f>
        <v>0</v>
      </c>
      <c r="N63" s="1430">
        <f>O63+P63</f>
        <v>2570</v>
      </c>
      <c r="O63" s="682">
        <f>SUM(O64:O75)</f>
        <v>2570</v>
      </c>
      <c r="P63" s="682">
        <f>SUM(P64:P75)</f>
        <v>0</v>
      </c>
      <c r="Q63" s="682">
        <f>R63+S63</f>
        <v>0</v>
      </c>
      <c r="R63" s="682">
        <f>SUM(R64:R75)</f>
        <v>0</v>
      </c>
      <c r="S63" s="682">
        <f>SUM(S64:S75)</f>
        <v>0</v>
      </c>
      <c r="T63" s="682">
        <f>U63+V63</f>
        <v>0</v>
      </c>
      <c r="U63" s="682">
        <f>SUM(U64:U75)</f>
        <v>0</v>
      </c>
      <c r="V63" s="682">
        <f>SUM(V64:V75)</f>
        <v>0</v>
      </c>
      <c r="W63" s="663">
        <f t="shared" si="15"/>
        <v>5287</v>
      </c>
      <c r="X63" s="1431"/>
      <c r="Y63" s="1431"/>
      <c r="Z63" s="1431"/>
      <c r="AA63" s="732"/>
      <c r="AC63" s="1426" t="e">
        <f>#REF!+E63+H63+K63+N63</f>
        <v>#REF!</v>
      </c>
      <c r="AG63" s="1186"/>
      <c r="AH63" s="1186"/>
      <c r="AI63" s="1186"/>
      <c r="AJ63" s="1186">
        <f t="shared" si="6"/>
        <v>0</v>
      </c>
      <c r="AK63" s="1186">
        <f t="shared" si="7"/>
        <v>0</v>
      </c>
      <c r="AL63" s="1187"/>
      <c r="AM63" s="1432"/>
      <c r="AN63" s="1187"/>
      <c r="AO63" s="1187"/>
      <c r="AP63" s="1426"/>
      <c r="AQ63" s="1426"/>
    </row>
    <row r="64" spans="1:75" ht="25.5" hidden="1" customHeight="1">
      <c r="A64" s="826" t="s">
        <v>160</v>
      </c>
      <c r="B64" s="1111" t="s">
        <v>834</v>
      </c>
      <c r="C64" s="663">
        <f t="shared" ref="C64:C78" si="24">H64+K64+N64+Q64+T64</f>
        <v>650</v>
      </c>
      <c r="D64" s="1237"/>
      <c r="E64" s="661">
        <f t="shared" ref="E64:E74" si="25">F64+G64</f>
        <v>0</v>
      </c>
      <c r="F64" s="816"/>
      <c r="G64" s="816"/>
      <c r="H64" s="661">
        <f t="shared" ref="H64:H75" si="26">I64+J64</f>
        <v>0</v>
      </c>
      <c r="I64" s="816"/>
      <c r="J64" s="816"/>
      <c r="K64" s="948">
        <f t="shared" ref="K64:K78" si="27">L64+M64</f>
        <v>300</v>
      </c>
      <c r="L64" s="948">
        <v>300</v>
      </c>
      <c r="M64" s="816"/>
      <c r="N64" s="949">
        <f>O64</f>
        <v>350</v>
      </c>
      <c r="O64" s="949">
        <v>350</v>
      </c>
      <c r="P64" s="726"/>
      <c r="Q64" s="726"/>
      <c r="R64" s="726"/>
      <c r="S64" s="726"/>
      <c r="T64" s="726"/>
      <c r="U64" s="726"/>
      <c r="V64" s="726"/>
      <c r="W64" s="679">
        <f t="shared" ref="W64:W94" si="28">C64</f>
        <v>650</v>
      </c>
      <c r="X64" s="680"/>
      <c r="Y64" s="680"/>
      <c r="Z64" s="680"/>
      <c r="AA64" s="1177"/>
      <c r="AC64" s="841" t="e">
        <f>#REF!+E64+H64+K64+N64</f>
        <v>#REF!</v>
      </c>
      <c r="AG64" s="1186"/>
      <c r="AH64" s="1186"/>
      <c r="AI64" s="1186"/>
      <c r="AJ64" s="1186">
        <f t="shared" si="6"/>
        <v>0</v>
      </c>
      <c r="AK64" s="1186">
        <f t="shared" si="7"/>
        <v>0</v>
      </c>
      <c r="AL64" s="1187"/>
      <c r="AM64" s="1188"/>
      <c r="AN64" s="1189"/>
      <c r="AO64" s="1189"/>
      <c r="AP64" s="842"/>
      <c r="AQ64" s="842"/>
      <c r="AR64" s="664"/>
      <c r="AS64" s="664"/>
      <c r="AT64" s="664"/>
      <c r="AU64" s="664"/>
      <c r="AV64" s="664"/>
      <c r="AW64" s="664"/>
      <c r="AX64" s="664"/>
      <c r="AY64" s="664"/>
      <c r="AZ64" s="664"/>
      <c r="BA64" s="664"/>
      <c r="BB64" s="664"/>
      <c r="BC64" s="664"/>
      <c r="BD64" s="664"/>
      <c r="BE64" s="664"/>
      <c r="BF64" s="664"/>
      <c r="BG64" s="664"/>
      <c r="BH64" s="664"/>
      <c r="BI64" s="664"/>
      <c r="BJ64" s="664"/>
      <c r="BK64" s="664"/>
      <c r="BL64" s="664"/>
      <c r="BM64" s="664"/>
      <c r="BN64" s="664"/>
      <c r="BO64" s="664"/>
      <c r="BP64" s="664"/>
      <c r="BQ64" s="664"/>
      <c r="BR64" s="664"/>
      <c r="BS64" s="664"/>
      <c r="BT64" s="664"/>
      <c r="BU64" s="664"/>
      <c r="BV64" s="664"/>
      <c r="BW64" s="664"/>
    </row>
    <row r="65" spans="1:75" ht="20.100000000000001" hidden="1" customHeight="1">
      <c r="A65" s="826" t="s">
        <v>161</v>
      </c>
      <c r="B65" s="694" t="s">
        <v>681</v>
      </c>
      <c r="C65" s="663">
        <f t="shared" si="24"/>
        <v>2100</v>
      </c>
      <c r="D65" s="852"/>
      <c r="E65" s="661">
        <f t="shared" si="25"/>
        <v>1827</v>
      </c>
      <c r="F65" s="661">
        <v>1827</v>
      </c>
      <c r="G65" s="661"/>
      <c r="H65" s="661">
        <f t="shared" si="26"/>
        <v>0</v>
      </c>
      <c r="I65" s="661">
        <f>1400*0</f>
        <v>0</v>
      </c>
      <c r="J65" s="661"/>
      <c r="K65" s="669">
        <f t="shared" si="27"/>
        <v>0</v>
      </c>
      <c r="L65" s="661"/>
      <c r="M65" s="661"/>
      <c r="N65" s="693">
        <f>O65</f>
        <v>2100</v>
      </c>
      <c r="O65" s="693">
        <v>2100</v>
      </c>
      <c r="P65" s="681"/>
      <c r="Q65" s="661">
        <f>R65+S65</f>
        <v>0</v>
      </c>
      <c r="R65" s="661"/>
      <c r="S65" s="681"/>
      <c r="T65" s="681"/>
      <c r="U65" s="681"/>
      <c r="V65" s="681"/>
      <c r="W65" s="679">
        <f t="shared" si="28"/>
        <v>2100</v>
      </c>
      <c r="X65" s="680"/>
      <c r="Y65" s="680"/>
      <c r="Z65" s="680"/>
      <c r="AA65" s="1177"/>
      <c r="AC65" s="841" t="e">
        <f>#REF!+E65+H65+K65+N65</f>
        <v>#REF!</v>
      </c>
      <c r="AG65" s="1186">
        <v>1760</v>
      </c>
      <c r="AH65" s="1186">
        <v>1827</v>
      </c>
      <c r="AI65" s="1186">
        <v>0</v>
      </c>
      <c r="AJ65" s="1186"/>
      <c r="AK65" s="1186">
        <f t="shared" si="7"/>
        <v>-67</v>
      </c>
      <c r="AL65" s="1187"/>
      <c r="AM65" s="1188"/>
      <c r="AN65" s="1189"/>
      <c r="AO65" s="1189"/>
      <c r="AP65" s="842"/>
      <c r="AQ65" s="842"/>
      <c r="AR65" s="664"/>
      <c r="AS65" s="664"/>
      <c r="AT65" s="664"/>
      <c r="AU65" s="664"/>
      <c r="AV65" s="664"/>
      <c r="AW65" s="664"/>
      <c r="AX65" s="664"/>
      <c r="AY65" s="664"/>
      <c r="AZ65" s="664"/>
      <c r="BA65" s="664"/>
      <c r="BB65" s="664"/>
      <c r="BC65" s="664"/>
      <c r="BD65" s="664"/>
      <c r="BE65" s="664"/>
      <c r="BF65" s="664"/>
      <c r="BG65" s="664"/>
      <c r="BH65" s="664"/>
      <c r="BI65" s="664"/>
      <c r="BJ65" s="664"/>
      <c r="BK65" s="664"/>
      <c r="BL65" s="664"/>
      <c r="BM65" s="664"/>
      <c r="BN65" s="664"/>
      <c r="BO65" s="664"/>
      <c r="BP65" s="664"/>
      <c r="BQ65" s="664"/>
      <c r="BR65" s="664"/>
      <c r="BS65" s="664"/>
      <c r="BT65" s="664"/>
      <c r="BU65" s="664"/>
      <c r="BV65" s="664"/>
      <c r="BW65" s="664"/>
    </row>
    <row r="66" spans="1:75" ht="24.75" hidden="1" customHeight="1">
      <c r="A66" s="826" t="s">
        <v>209</v>
      </c>
      <c r="B66" s="694" t="s">
        <v>928</v>
      </c>
      <c r="C66" s="663">
        <f t="shared" si="24"/>
        <v>1560</v>
      </c>
      <c r="D66" s="852"/>
      <c r="E66" s="661">
        <f t="shared" si="25"/>
        <v>0</v>
      </c>
      <c r="F66" s="661"/>
      <c r="G66" s="661"/>
      <c r="H66" s="661">
        <f t="shared" si="26"/>
        <v>0</v>
      </c>
      <c r="I66" s="661"/>
      <c r="J66" s="661"/>
      <c r="K66" s="948">
        <f t="shared" si="27"/>
        <v>1560</v>
      </c>
      <c r="L66" s="660">
        <v>1560</v>
      </c>
      <c r="M66" s="661"/>
      <c r="N66" s="681"/>
      <c r="O66" s="681"/>
      <c r="P66" s="681"/>
      <c r="Q66" s="681"/>
      <c r="R66" s="681"/>
      <c r="S66" s="681"/>
      <c r="T66" s="681"/>
      <c r="U66" s="681"/>
      <c r="V66" s="681"/>
      <c r="W66" s="679">
        <f t="shared" si="28"/>
        <v>1560</v>
      </c>
      <c r="X66" s="680"/>
      <c r="Y66" s="680"/>
      <c r="Z66" s="680"/>
      <c r="AA66" s="1177"/>
      <c r="AC66" s="841" t="e">
        <f>#REF!+E66+H66+K66+N66</f>
        <v>#REF!</v>
      </c>
      <c r="AG66" s="1186"/>
      <c r="AH66" s="1186"/>
      <c r="AI66" s="1186"/>
      <c r="AJ66" s="1186">
        <f t="shared" si="6"/>
        <v>0</v>
      </c>
      <c r="AK66" s="1186">
        <f t="shared" si="7"/>
        <v>0</v>
      </c>
      <c r="AL66" s="1187"/>
      <c r="AM66" s="1188"/>
      <c r="AN66" s="1189"/>
      <c r="AO66" s="1189"/>
      <c r="AP66" s="842"/>
      <c r="AQ66" s="842"/>
      <c r="AR66" s="664"/>
      <c r="AS66" s="664"/>
      <c r="AT66" s="664"/>
      <c r="AU66" s="664"/>
      <c r="AV66" s="664"/>
      <c r="AW66" s="664"/>
      <c r="AX66" s="664"/>
      <c r="AY66" s="664"/>
      <c r="AZ66" s="664"/>
      <c r="BA66" s="664"/>
      <c r="BB66" s="664"/>
      <c r="BC66" s="664"/>
      <c r="BD66" s="664"/>
      <c r="BE66" s="664"/>
      <c r="BF66" s="664"/>
      <c r="BG66" s="664"/>
      <c r="BH66" s="664"/>
      <c r="BI66" s="664"/>
      <c r="BJ66" s="664"/>
      <c r="BK66" s="664"/>
      <c r="BL66" s="664"/>
      <c r="BM66" s="664"/>
      <c r="BN66" s="664"/>
      <c r="BO66" s="664"/>
      <c r="BP66" s="664"/>
      <c r="BQ66" s="664"/>
      <c r="BR66" s="664"/>
      <c r="BS66" s="664"/>
      <c r="BT66" s="664"/>
      <c r="BU66" s="664"/>
      <c r="BV66" s="664"/>
      <c r="BW66" s="664"/>
    </row>
    <row r="67" spans="1:75" ht="20.100000000000001" hidden="1" customHeight="1">
      <c r="A67" s="826" t="s">
        <v>214</v>
      </c>
      <c r="B67" s="694" t="s">
        <v>835</v>
      </c>
      <c r="C67" s="663">
        <f>H67+K67+N67+Q67+T67</f>
        <v>230</v>
      </c>
      <c r="D67" s="852"/>
      <c r="E67" s="661">
        <f t="shared" si="25"/>
        <v>0</v>
      </c>
      <c r="F67" s="661"/>
      <c r="G67" s="661"/>
      <c r="H67" s="661">
        <f t="shared" si="26"/>
        <v>0</v>
      </c>
      <c r="I67" s="661"/>
      <c r="J67" s="661"/>
      <c r="K67" s="948">
        <f t="shared" si="27"/>
        <v>230</v>
      </c>
      <c r="L67" s="660">
        <v>230</v>
      </c>
      <c r="M67" s="661"/>
      <c r="N67" s="681"/>
      <c r="O67" s="681"/>
      <c r="P67" s="681"/>
      <c r="Q67" s="681"/>
      <c r="R67" s="681"/>
      <c r="S67" s="681"/>
      <c r="T67" s="681"/>
      <c r="U67" s="681"/>
      <c r="V67" s="681"/>
      <c r="W67" s="679">
        <f t="shared" si="28"/>
        <v>230</v>
      </c>
      <c r="X67" s="680"/>
      <c r="Y67" s="680"/>
      <c r="Z67" s="680"/>
      <c r="AA67" s="1177"/>
      <c r="AC67" s="841" t="e">
        <f>#REF!+E67+H67+K67+N67</f>
        <v>#REF!</v>
      </c>
      <c r="AG67" s="1186"/>
      <c r="AH67" s="1186"/>
      <c r="AI67" s="1186"/>
      <c r="AJ67" s="1186">
        <f t="shared" si="6"/>
        <v>0</v>
      </c>
      <c r="AK67" s="1186">
        <f t="shared" si="7"/>
        <v>0</v>
      </c>
      <c r="AL67" s="1187"/>
      <c r="AM67" s="1188"/>
      <c r="AN67" s="1189"/>
      <c r="AO67" s="1189"/>
      <c r="AP67" s="842"/>
      <c r="AQ67" s="842"/>
      <c r="AR67" s="664"/>
      <c r="AS67" s="664"/>
      <c r="AT67" s="664"/>
      <c r="AU67" s="664"/>
      <c r="AV67" s="664"/>
      <c r="AW67" s="664"/>
      <c r="AX67" s="664"/>
      <c r="AY67" s="664"/>
      <c r="AZ67" s="664"/>
      <c r="BA67" s="664"/>
      <c r="BB67" s="664"/>
      <c r="BC67" s="664"/>
      <c r="BD67" s="664"/>
      <c r="BE67" s="664"/>
      <c r="BF67" s="664"/>
      <c r="BG67" s="664"/>
      <c r="BH67" s="664"/>
      <c r="BI67" s="664"/>
      <c r="BJ67" s="664"/>
      <c r="BK67" s="664"/>
      <c r="BL67" s="664"/>
      <c r="BM67" s="664"/>
      <c r="BN67" s="664"/>
      <c r="BO67" s="664"/>
      <c r="BP67" s="664"/>
      <c r="BQ67" s="664"/>
      <c r="BR67" s="664"/>
      <c r="BS67" s="664"/>
      <c r="BT67" s="664"/>
      <c r="BU67" s="664"/>
      <c r="BV67" s="664"/>
      <c r="BW67" s="664"/>
    </row>
    <row r="68" spans="1:75" ht="20.100000000000001" hidden="1" customHeight="1">
      <c r="A68" s="826" t="s">
        <v>246</v>
      </c>
      <c r="B68" s="694" t="s">
        <v>836</v>
      </c>
      <c r="C68" s="663">
        <f t="shared" si="24"/>
        <v>37</v>
      </c>
      <c r="D68" s="852"/>
      <c r="E68" s="661">
        <f t="shared" si="25"/>
        <v>0</v>
      </c>
      <c r="F68" s="661"/>
      <c r="G68" s="661"/>
      <c r="H68" s="661">
        <f t="shared" si="26"/>
        <v>0</v>
      </c>
      <c r="I68" s="661">
        <v>0</v>
      </c>
      <c r="J68" s="661"/>
      <c r="K68" s="948">
        <f t="shared" ref="K68" si="29">L68+M68</f>
        <v>37</v>
      </c>
      <c r="L68" s="660">
        <v>37</v>
      </c>
      <c r="M68" s="661"/>
      <c r="N68" s="681"/>
      <c r="O68" s="681"/>
      <c r="P68" s="681"/>
      <c r="Q68" s="681"/>
      <c r="R68" s="681"/>
      <c r="S68" s="681"/>
      <c r="T68" s="681"/>
      <c r="U68" s="681"/>
      <c r="V68" s="681"/>
      <c r="W68" s="679">
        <f t="shared" si="28"/>
        <v>37</v>
      </c>
      <c r="X68" s="680"/>
      <c r="Y68" s="680"/>
      <c r="Z68" s="680"/>
      <c r="AA68" s="1177"/>
      <c r="AC68" s="841" t="e">
        <f>#REF!+E68+H68+K68+N68</f>
        <v>#REF!</v>
      </c>
      <c r="AG68" s="1186"/>
      <c r="AH68" s="1186"/>
      <c r="AI68" s="1186"/>
      <c r="AJ68" s="1186">
        <f t="shared" si="6"/>
        <v>0</v>
      </c>
      <c r="AK68" s="1186">
        <f t="shared" si="7"/>
        <v>0</v>
      </c>
      <c r="AL68" s="1187"/>
      <c r="AM68" s="1188"/>
      <c r="AN68" s="1189"/>
      <c r="AO68" s="1189"/>
      <c r="AP68" s="842"/>
      <c r="AQ68" s="842"/>
      <c r="AR68" s="664"/>
      <c r="AS68" s="664"/>
      <c r="AT68" s="664"/>
      <c r="AU68" s="664"/>
      <c r="AV68" s="664"/>
      <c r="AW68" s="664"/>
      <c r="AX68" s="664"/>
      <c r="AY68" s="664"/>
      <c r="AZ68" s="664"/>
      <c r="BA68" s="664"/>
      <c r="BB68" s="664"/>
      <c r="BC68" s="664"/>
      <c r="BD68" s="664"/>
      <c r="BE68" s="664"/>
      <c r="BF68" s="664"/>
      <c r="BG68" s="664"/>
      <c r="BH68" s="664"/>
      <c r="BI68" s="664"/>
      <c r="BJ68" s="664"/>
      <c r="BK68" s="664"/>
      <c r="BL68" s="664"/>
      <c r="BM68" s="664"/>
      <c r="BN68" s="664"/>
      <c r="BO68" s="664"/>
      <c r="BP68" s="664"/>
      <c r="BQ68" s="664"/>
      <c r="BR68" s="664"/>
      <c r="BS68" s="664"/>
      <c r="BT68" s="664"/>
      <c r="BU68" s="664"/>
      <c r="BV68" s="664"/>
      <c r="BW68" s="664"/>
    </row>
    <row r="69" spans="1:75" ht="20.100000000000001" hidden="1" customHeight="1">
      <c r="A69" s="826" t="s">
        <v>262</v>
      </c>
      <c r="B69" s="694" t="s">
        <v>837</v>
      </c>
      <c r="C69" s="663">
        <f t="shared" si="24"/>
        <v>120</v>
      </c>
      <c r="D69" s="852"/>
      <c r="E69" s="661">
        <f t="shared" si="25"/>
        <v>0</v>
      </c>
      <c r="F69" s="661"/>
      <c r="G69" s="661"/>
      <c r="H69" s="661">
        <f t="shared" si="26"/>
        <v>0</v>
      </c>
      <c r="I69" s="661"/>
      <c r="J69" s="661"/>
      <c r="K69" s="948">
        <f t="shared" si="27"/>
        <v>120</v>
      </c>
      <c r="L69" s="660">
        <v>120</v>
      </c>
      <c r="M69" s="661"/>
      <c r="N69" s="681"/>
      <c r="O69" s="681"/>
      <c r="P69" s="681"/>
      <c r="Q69" s="681"/>
      <c r="R69" s="681"/>
      <c r="S69" s="681"/>
      <c r="T69" s="681"/>
      <c r="U69" s="681"/>
      <c r="V69" s="681"/>
      <c r="W69" s="679">
        <f t="shared" si="28"/>
        <v>120</v>
      </c>
      <c r="X69" s="680"/>
      <c r="Y69" s="680"/>
      <c r="Z69" s="680"/>
      <c r="AA69" s="1177"/>
      <c r="AC69" s="841" t="e">
        <f>#REF!+E69+H69+K69+N69</f>
        <v>#REF!</v>
      </c>
      <c r="AG69" s="1186"/>
      <c r="AH69" s="1186"/>
      <c r="AI69" s="1186"/>
      <c r="AJ69" s="1186">
        <f t="shared" si="6"/>
        <v>0</v>
      </c>
      <c r="AK69" s="1186">
        <f t="shared" si="7"/>
        <v>0</v>
      </c>
      <c r="AL69" s="1187"/>
      <c r="AM69" s="1188"/>
      <c r="AN69" s="1189"/>
      <c r="AO69" s="1189"/>
      <c r="AP69" s="842"/>
      <c r="AQ69" s="842"/>
      <c r="AR69" s="664"/>
      <c r="AS69" s="664"/>
      <c r="AT69" s="664"/>
      <c r="AU69" s="664"/>
      <c r="AV69" s="664"/>
      <c r="AW69" s="664"/>
      <c r="AX69" s="664"/>
      <c r="AY69" s="664"/>
      <c r="AZ69" s="664"/>
      <c r="BA69" s="664"/>
      <c r="BB69" s="664"/>
      <c r="BC69" s="664"/>
      <c r="BD69" s="664"/>
      <c r="BE69" s="664"/>
      <c r="BF69" s="664"/>
      <c r="BG69" s="664"/>
      <c r="BH69" s="664"/>
      <c r="BI69" s="664"/>
      <c r="BJ69" s="664"/>
      <c r="BK69" s="664"/>
      <c r="BL69" s="664"/>
      <c r="BM69" s="664"/>
      <c r="BN69" s="664"/>
      <c r="BO69" s="664"/>
      <c r="BP69" s="664"/>
      <c r="BQ69" s="664"/>
      <c r="BR69" s="664"/>
      <c r="BS69" s="664"/>
      <c r="BT69" s="664"/>
      <c r="BU69" s="664"/>
      <c r="BV69" s="664"/>
      <c r="BW69" s="664"/>
    </row>
    <row r="70" spans="1:75" ht="20.100000000000001" hidden="1" customHeight="1">
      <c r="A70" s="826" t="s">
        <v>263</v>
      </c>
      <c r="B70" s="678" t="s">
        <v>700</v>
      </c>
      <c r="C70" s="663">
        <f t="shared" si="24"/>
        <v>120</v>
      </c>
      <c r="D70" s="852"/>
      <c r="E70" s="661">
        <f t="shared" si="25"/>
        <v>0</v>
      </c>
      <c r="F70" s="661"/>
      <c r="G70" s="661"/>
      <c r="H70" s="661">
        <f t="shared" si="26"/>
        <v>0</v>
      </c>
      <c r="I70" s="661"/>
      <c r="J70" s="661"/>
      <c r="K70" s="948">
        <f t="shared" si="27"/>
        <v>0</v>
      </c>
      <c r="L70" s="660"/>
      <c r="M70" s="661"/>
      <c r="N70" s="661">
        <f>O70+P70</f>
        <v>120</v>
      </c>
      <c r="O70" s="661">
        <v>120</v>
      </c>
      <c r="P70" s="681"/>
      <c r="Q70" s="681"/>
      <c r="R70" s="681"/>
      <c r="S70" s="681"/>
      <c r="T70" s="681"/>
      <c r="U70" s="681"/>
      <c r="V70" s="681"/>
      <c r="W70" s="679">
        <f t="shared" si="28"/>
        <v>120</v>
      </c>
      <c r="X70" s="680"/>
      <c r="Y70" s="680"/>
      <c r="Z70" s="680"/>
      <c r="AA70" s="1177"/>
      <c r="AC70" s="841" t="e">
        <f>#REF!+E70+H70+K70+N70</f>
        <v>#REF!</v>
      </c>
      <c r="AG70" s="1186"/>
      <c r="AH70" s="1186"/>
      <c r="AI70" s="1186"/>
      <c r="AJ70" s="1186">
        <f t="shared" si="6"/>
        <v>0</v>
      </c>
      <c r="AK70" s="1186">
        <f t="shared" si="7"/>
        <v>0</v>
      </c>
      <c r="AL70" s="1187"/>
      <c r="AM70" s="1188"/>
      <c r="AN70" s="1189"/>
      <c r="AO70" s="1189"/>
      <c r="AP70" s="842"/>
      <c r="AQ70" s="842"/>
      <c r="AR70" s="664"/>
      <c r="AS70" s="664"/>
      <c r="AT70" s="664"/>
      <c r="AU70" s="664"/>
      <c r="AV70" s="664"/>
      <c r="AW70" s="664"/>
      <c r="AX70" s="664"/>
      <c r="AY70" s="664"/>
      <c r="AZ70" s="664"/>
      <c r="BA70" s="664"/>
      <c r="BB70" s="664"/>
      <c r="BC70" s="664"/>
      <c r="BD70" s="664"/>
      <c r="BE70" s="664"/>
      <c r="BF70" s="664"/>
      <c r="BG70" s="664"/>
      <c r="BH70" s="664"/>
      <c r="BI70" s="664"/>
      <c r="BJ70" s="664"/>
      <c r="BK70" s="664"/>
      <c r="BL70" s="664"/>
      <c r="BM70" s="664"/>
      <c r="BN70" s="664"/>
      <c r="BO70" s="664"/>
      <c r="BP70" s="664"/>
      <c r="BQ70" s="664"/>
      <c r="BR70" s="664"/>
      <c r="BS70" s="664"/>
      <c r="BT70" s="664"/>
      <c r="BU70" s="664"/>
      <c r="BV70" s="664"/>
      <c r="BW70" s="664"/>
    </row>
    <row r="71" spans="1:75" ht="20.100000000000001" hidden="1" customHeight="1" outlineLevel="1">
      <c r="A71" s="826"/>
      <c r="B71" s="1191"/>
      <c r="C71" s="663">
        <f t="shared" si="24"/>
        <v>0</v>
      </c>
      <c r="D71" s="852"/>
      <c r="E71" s="661">
        <f t="shared" si="25"/>
        <v>90</v>
      </c>
      <c r="F71" s="661">
        <v>90</v>
      </c>
      <c r="G71" s="661"/>
      <c r="H71" s="661">
        <f t="shared" si="26"/>
        <v>0</v>
      </c>
      <c r="I71" s="661"/>
      <c r="J71" s="661"/>
      <c r="K71" s="948">
        <f t="shared" si="27"/>
        <v>0</v>
      </c>
      <c r="L71" s="660"/>
      <c r="M71" s="661"/>
      <c r="N71" s="661">
        <f t="shared" ref="N71:N75" si="30">O71+P71</f>
        <v>0</v>
      </c>
      <c r="O71" s="681"/>
      <c r="P71" s="681"/>
      <c r="Q71" s="681"/>
      <c r="R71" s="681"/>
      <c r="S71" s="681"/>
      <c r="T71" s="681"/>
      <c r="U71" s="681"/>
      <c r="V71" s="681"/>
      <c r="W71" s="679">
        <f t="shared" si="28"/>
        <v>0</v>
      </c>
      <c r="X71" s="680"/>
      <c r="Y71" s="680"/>
      <c r="Z71" s="680"/>
      <c r="AA71" s="1177"/>
      <c r="AC71" s="841"/>
      <c r="AG71" s="1186">
        <v>100</v>
      </c>
      <c r="AH71" s="1186">
        <v>90</v>
      </c>
      <c r="AI71" s="1186">
        <v>0</v>
      </c>
      <c r="AJ71" s="1186">
        <f t="shared" si="6"/>
        <v>10</v>
      </c>
      <c r="AK71" s="1186"/>
      <c r="AL71" s="1187"/>
      <c r="AM71" s="1188"/>
      <c r="AN71" s="1189"/>
      <c r="AO71" s="1189"/>
      <c r="AP71" s="842"/>
      <c r="AQ71" s="842"/>
      <c r="AR71" s="664"/>
      <c r="AS71" s="664"/>
      <c r="AT71" s="664"/>
      <c r="AU71" s="664"/>
      <c r="AV71" s="664"/>
      <c r="AW71" s="664"/>
      <c r="AX71" s="664"/>
      <c r="AY71" s="664"/>
      <c r="AZ71" s="664"/>
      <c r="BA71" s="664"/>
      <c r="BB71" s="664"/>
      <c r="BC71" s="664"/>
      <c r="BD71" s="664"/>
      <c r="BE71" s="664"/>
      <c r="BF71" s="664"/>
      <c r="BG71" s="664"/>
      <c r="BH71" s="664"/>
      <c r="BI71" s="664"/>
      <c r="BJ71" s="664"/>
      <c r="BK71" s="664"/>
      <c r="BL71" s="664"/>
      <c r="BM71" s="664"/>
      <c r="BN71" s="664"/>
      <c r="BO71" s="664"/>
      <c r="BP71" s="664"/>
      <c r="BQ71" s="664"/>
      <c r="BR71" s="664"/>
      <c r="BS71" s="664"/>
      <c r="BT71" s="664"/>
      <c r="BU71" s="664"/>
      <c r="BV71" s="664"/>
      <c r="BW71" s="664"/>
    </row>
    <row r="72" spans="1:75" ht="20.100000000000001" hidden="1" customHeight="1" collapsed="1">
      <c r="A72" s="826" t="s">
        <v>264</v>
      </c>
      <c r="B72" s="1191" t="s">
        <v>929</v>
      </c>
      <c r="C72" s="663">
        <f t="shared" si="24"/>
        <v>330</v>
      </c>
      <c r="D72" s="852"/>
      <c r="E72" s="661">
        <f t="shared" ref="E72" si="31">F72+G72</f>
        <v>0</v>
      </c>
      <c r="F72" s="661">
        <v>0</v>
      </c>
      <c r="G72" s="661"/>
      <c r="H72" s="661">
        <f t="shared" si="26"/>
        <v>0</v>
      </c>
      <c r="I72" s="661">
        <v>0</v>
      </c>
      <c r="J72" s="661"/>
      <c r="K72" s="660">
        <f>L72</f>
        <v>330</v>
      </c>
      <c r="L72" s="660">
        <v>330</v>
      </c>
      <c r="M72" s="661"/>
      <c r="N72" s="661"/>
      <c r="O72" s="681"/>
      <c r="P72" s="681"/>
      <c r="Q72" s="681"/>
      <c r="R72" s="681"/>
      <c r="S72" s="681"/>
      <c r="T72" s="681"/>
      <c r="U72" s="681"/>
      <c r="V72" s="681"/>
      <c r="W72" s="679">
        <f t="shared" si="28"/>
        <v>330</v>
      </c>
      <c r="X72" s="680"/>
      <c r="Y72" s="680"/>
      <c r="Z72" s="680"/>
      <c r="AA72" s="1177"/>
      <c r="AC72" s="841"/>
      <c r="AG72" s="1186">
        <v>300</v>
      </c>
      <c r="AH72" s="1186">
        <v>0</v>
      </c>
      <c r="AI72" s="1186">
        <v>300</v>
      </c>
      <c r="AJ72" s="1186">
        <f t="shared" si="6"/>
        <v>0</v>
      </c>
      <c r="AK72" s="1186">
        <f t="shared" si="7"/>
        <v>0</v>
      </c>
      <c r="AL72" s="1187"/>
      <c r="AM72" s="1188"/>
      <c r="AN72" s="1189"/>
      <c r="AO72" s="1189"/>
      <c r="AP72" s="842"/>
      <c r="AQ72" s="842"/>
      <c r="AR72" s="664"/>
      <c r="AS72" s="664"/>
      <c r="AT72" s="664"/>
      <c r="AU72" s="664"/>
      <c r="AV72" s="664"/>
      <c r="AW72" s="664"/>
      <c r="AX72" s="664"/>
      <c r="AY72" s="664"/>
      <c r="AZ72" s="664"/>
      <c r="BA72" s="664"/>
      <c r="BB72" s="664"/>
      <c r="BC72" s="664"/>
      <c r="BD72" s="664"/>
      <c r="BE72" s="664"/>
      <c r="BF72" s="664"/>
      <c r="BG72" s="664"/>
      <c r="BH72" s="664"/>
      <c r="BI72" s="664"/>
      <c r="BJ72" s="664"/>
      <c r="BK72" s="664"/>
      <c r="BL72" s="664"/>
      <c r="BM72" s="664"/>
      <c r="BN72" s="664"/>
      <c r="BO72" s="664"/>
      <c r="BP72" s="664"/>
      <c r="BQ72" s="664"/>
      <c r="BR72" s="664"/>
      <c r="BS72" s="664"/>
      <c r="BT72" s="664"/>
      <c r="BU72" s="664"/>
      <c r="BV72" s="664"/>
      <c r="BW72" s="664"/>
    </row>
    <row r="73" spans="1:75" ht="20.100000000000001" hidden="1" customHeight="1">
      <c r="A73" s="826" t="s">
        <v>265</v>
      </c>
      <c r="B73" s="1191" t="s">
        <v>930</v>
      </c>
      <c r="C73" s="663">
        <f t="shared" si="24"/>
        <v>140</v>
      </c>
      <c r="D73" s="852"/>
      <c r="E73" s="661"/>
      <c r="F73" s="661"/>
      <c r="G73" s="661"/>
      <c r="H73" s="661">
        <f t="shared" si="26"/>
        <v>140</v>
      </c>
      <c r="I73" s="661">
        <v>140</v>
      </c>
      <c r="J73" s="661"/>
      <c r="K73" s="948">
        <f>L73</f>
        <v>0</v>
      </c>
      <c r="L73" s="660"/>
      <c r="M73" s="661"/>
      <c r="N73" s="661"/>
      <c r="O73" s="681"/>
      <c r="P73" s="681"/>
      <c r="Q73" s="681"/>
      <c r="R73" s="681"/>
      <c r="S73" s="681"/>
      <c r="T73" s="681"/>
      <c r="U73" s="681"/>
      <c r="V73" s="681"/>
      <c r="W73" s="679">
        <f t="shared" si="28"/>
        <v>140</v>
      </c>
      <c r="X73" s="680"/>
      <c r="Y73" s="680"/>
      <c r="Z73" s="680"/>
      <c r="AA73" s="1177"/>
      <c r="AC73" s="841"/>
      <c r="AG73" s="1186"/>
      <c r="AH73" s="1186"/>
      <c r="AI73" s="1186"/>
      <c r="AJ73" s="1186">
        <f t="shared" si="6"/>
        <v>0</v>
      </c>
      <c r="AK73" s="1186">
        <f t="shared" si="7"/>
        <v>0</v>
      </c>
      <c r="AL73" s="1187"/>
      <c r="AM73" s="1188"/>
      <c r="AN73" s="1189"/>
      <c r="AO73" s="1189"/>
      <c r="AP73" s="842"/>
      <c r="AQ73" s="842"/>
      <c r="AR73" s="664"/>
      <c r="AS73" s="664"/>
      <c r="AT73" s="664"/>
      <c r="AU73" s="664"/>
      <c r="AV73" s="664"/>
      <c r="AW73" s="664"/>
      <c r="AX73" s="664"/>
      <c r="AY73" s="664"/>
      <c r="AZ73" s="664"/>
      <c r="BA73" s="664"/>
      <c r="BB73" s="664"/>
      <c r="BC73" s="664"/>
      <c r="BD73" s="664"/>
      <c r="BE73" s="664"/>
      <c r="BF73" s="664"/>
      <c r="BG73" s="664"/>
      <c r="BH73" s="664"/>
      <c r="BI73" s="664"/>
      <c r="BJ73" s="664"/>
      <c r="BK73" s="664"/>
      <c r="BL73" s="664"/>
      <c r="BM73" s="664"/>
      <c r="BN73" s="664"/>
      <c r="BO73" s="664"/>
      <c r="BP73" s="664"/>
      <c r="BQ73" s="664"/>
      <c r="BR73" s="664"/>
      <c r="BS73" s="664"/>
      <c r="BT73" s="664"/>
      <c r="BU73" s="664"/>
      <c r="BV73" s="664"/>
      <c r="BW73" s="664"/>
    </row>
    <row r="74" spans="1:75" ht="20.100000000000001" hidden="1" customHeight="1" outlineLevel="1">
      <c r="A74" s="826"/>
      <c r="B74" s="694"/>
      <c r="C74" s="663">
        <f t="shared" si="24"/>
        <v>0</v>
      </c>
      <c r="D74" s="852"/>
      <c r="E74" s="661">
        <f t="shared" si="25"/>
        <v>0</v>
      </c>
      <c r="F74" s="661">
        <v>0</v>
      </c>
      <c r="G74" s="661"/>
      <c r="H74" s="661">
        <f t="shared" si="26"/>
        <v>0</v>
      </c>
      <c r="I74" s="661">
        <v>0</v>
      </c>
      <c r="J74" s="661"/>
      <c r="K74" s="948">
        <f t="shared" si="27"/>
        <v>0</v>
      </c>
      <c r="L74" s="660"/>
      <c r="M74" s="661"/>
      <c r="N74" s="661">
        <f t="shared" si="30"/>
        <v>0</v>
      </c>
      <c r="O74" s="681"/>
      <c r="P74" s="681"/>
      <c r="Q74" s="681"/>
      <c r="R74" s="681"/>
      <c r="S74" s="681"/>
      <c r="T74" s="681"/>
      <c r="U74" s="681"/>
      <c r="V74" s="681"/>
      <c r="W74" s="679">
        <f t="shared" si="28"/>
        <v>0</v>
      </c>
      <c r="X74" s="680"/>
      <c r="Y74" s="680"/>
      <c r="Z74" s="680"/>
      <c r="AA74" s="1177"/>
      <c r="AC74" s="841" t="e">
        <f>#REF!+E74+H74+K74+N74</f>
        <v>#REF!</v>
      </c>
      <c r="AG74" s="1186">
        <v>300</v>
      </c>
      <c r="AH74" s="1186">
        <v>0</v>
      </c>
      <c r="AI74" s="1186">
        <v>0</v>
      </c>
      <c r="AJ74" s="1186">
        <f t="shared" si="6"/>
        <v>300</v>
      </c>
      <c r="AK74" s="1186"/>
      <c r="AL74" s="1187"/>
      <c r="AM74" s="1188"/>
      <c r="AN74" s="1189"/>
      <c r="AO74" s="1189"/>
      <c r="AP74" s="842"/>
      <c r="AQ74" s="842"/>
      <c r="AR74" s="664"/>
      <c r="AS74" s="664"/>
      <c r="AT74" s="664"/>
      <c r="AU74" s="664"/>
      <c r="AV74" s="664"/>
      <c r="AW74" s="664"/>
      <c r="AX74" s="664"/>
      <c r="AY74" s="664"/>
      <c r="AZ74" s="664"/>
      <c r="BA74" s="664"/>
      <c r="BB74" s="664"/>
      <c r="BC74" s="664"/>
      <c r="BD74" s="664"/>
      <c r="BE74" s="664"/>
      <c r="BF74" s="664"/>
      <c r="BG74" s="664"/>
      <c r="BH74" s="664"/>
      <c r="BI74" s="664"/>
      <c r="BJ74" s="664"/>
      <c r="BK74" s="664"/>
      <c r="BL74" s="664"/>
      <c r="BM74" s="664"/>
      <c r="BN74" s="664"/>
      <c r="BO74" s="664"/>
      <c r="BP74" s="664"/>
      <c r="BQ74" s="664"/>
      <c r="BR74" s="664"/>
      <c r="BS74" s="664"/>
      <c r="BT74" s="664"/>
      <c r="BU74" s="664"/>
      <c r="BV74" s="664"/>
      <c r="BW74" s="664"/>
    </row>
    <row r="75" spans="1:75" ht="26.25" hidden="1" customHeight="1" outlineLevel="1">
      <c r="A75" s="826"/>
      <c r="B75" s="694"/>
      <c r="C75" s="663">
        <f t="shared" si="24"/>
        <v>0</v>
      </c>
      <c r="D75" s="852"/>
      <c r="E75" s="661">
        <f>F75+G75</f>
        <v>3200</v>
      </c>
      <c r="F75" s="661">
        <f>2900+300</f>
        <v>3200</v>
      </c>
      <c r="G75" s="661"/>
      <c r="H75" s="661">
        <f t="shared" si="26"/>
        <v>0</v>
      </c>
      <c r="I75" s="661">
        <f>-600*0</f>
        <v>0</v>
      </c>
      <c r="J75" s="661"/>
      <c r="K75" s="948">
        <f t="shared" si="27"/>
        <v>0</v>
      </c>
      <c r="L75" s="660">
        <v>0</v>
      </c>
      <c r="M75" s="661"/>
      <c r="N75" s="661">
        <f t="shared" si="30"/>
        <v>0</v>
      </c>
      <c r="O75" s="661">
        <v>0</v>
      </c>
      <c r="P75" s="681"/>
      <c r="Q75" s="661">
        <f>R75+S75</f>
        <v>0</v>
      </c>
      <c r="R75" s="661">
        <v>0</v>
      </c>
      <c r="S75" s="681"/>
      <c r="T75" s="681"/>
      <c r="U75" s="681"/>
      <c r="V75" s="681"/>
      <c r="W75" s="679">
        <f t="shared" si="28"/>
        <v>0</v>
      </c>
      <c r="X75" s="680"/>
      <c r="Y75" s="680"/>
      <c r="Z75" s="680"/>
      <c r="AA75" s="1177"/>
      <c r="AC75" s="841"/>
      <c r="AG75" s="1186">
        <v>3800</v>
      </c>
      <c r="AH75" s="1186">
        <v>2900</v>
      </c>
      <c r="AI75" s="1186">
        <v>0</v>
      </c>
      <c r="AJ75" s="1186">
        <f t="shared" si="6"/>
        <v>900</v>
      </c>
      <c r="AK75" s="1186"/>
      <c r="AL75" s="1187"/>
      <c r="AM75" s="1188"/>
      <c r="AN75" s="1189"/>
      <c r="AO75" s="1189"/>
      <c r="AP75" s="842"/>
      <c r="AQ75" s="842"/>
      <c r="AR75" s="664"/>
      <c r="AS75" s="664"/>
      <c r="AT75" s="664"/>
      <c r="AU75" s="664"/>
      <c r="AV75" s="664"/>
      <c r="AW75" s="664"/>
      <c r="AX75" s="664"/>
      <c r="AY75" s="664"/>
      <c r="AZ75" s="664"/>
      <c r="BA75" s="664"/>
      <c r="BB75" s="664"/>
      <c r="BC75" s="664"/>
      <c r="BD75" s="664"/>
      <c r="BE75" s="664"/>
      <c r="BF75" s="664"/>
      <c r="BG75" s="664"/>
      <c r="BH75" s="664"/>
      <c r="BI75" s="664"/>
      <c r="BJ75" s="664"/>
      <c r="BK75" s="664"/>
      <c r="BL75" s="664"/>
      <c r="BM75" s="664"/>
      <c r="BN75" s="664"/>
      <c r="BO75" s="664"/>
      <c r="BP75" s="664"/>
      <c r="BQ75" s="664"/>
      <c r="BR75" s="664"/>
      <c r="BS75" s="664"/>
      <c r="BT75" s="664"/>
      <c r="BU75" s="664"/>
      <c r="BV75" s="664"/>
      <c r="BW75" s="664"/>
    </row>
    <row r="76" spans="1:75" s="1148" customFormat="1" ht="21.95" hidden="1" customHeight="1" outlineLevel="1">
      <c r="A76" s="826"/>
      <c r="B76" s="695"/>
      <c r="C76" s="663">
        <f t="shared" si="24"/>
        <v>0</v>
      </c>
      <c r="D76" s="852"/>
      <c r="E76" s="661"/>
      <c r="F76" s="661"/>
      <c r="G76" s="661"/>
      <c r="H76" s="661"/>
      <c r="I76" s="661"/>
      <c r="J76" s="661"/>
      <c r="K76" s="1247">
        <f>L76+M76</f>
        <v>0</v>
      </c>
      <c r="L76" s="661"/>
      <c r="M76" s="661"/>
      <c r="N76" s="661">
        <f>O76+P76</f>
        <v>0</v>
      </c>
      <c r="O76" s="661"/>
      <c r="P76" s="661"/>
      <c r="Q76" s="661">
        <f>R76+S76</f>
        <v>0</v>
      </c>
      <c r="R76" s="661"/>
      <c r="S76" s="661"/>
      <c r="T76" s="661">
        <f>U76+V76</f>
        <v>0</v>
      </c>
      <c r="U76" s="661"/>
      <c r="V76" s="661"/>
      <c r="W76" s="679">
        <f t="shared" si="28"/>
        <v>0</v>
      </c>
      <c r="X76" s="680"/>
      <c r="Y76" s="680"/>
      <c r="Z76" s="680"/>
      <c r="AA76" s="1147"/>
      <c r="AC76" s="1149"/>
      <c r="AG76" s="1150"/>
      <c r="AH76" s="1150"/>
      <c r="AI76" s="1150"/>
      <c r="AJ76" s="1150">
        <f t="shared" si="6"/>
        <v>0</v>
      </c>
      <c r="AK76" s="1150">
        <f t="shared" si="7"/>
        <v>0</v>
      </c>
      <c r="AL76" s="1151"/>
      <c r="AM76" s="1152"/>
      <c r="AN76" s="1153"/>
      <c r="AO76" s="1153"/>
      <c r="AP76" s="1154"/>
      <c r="AQ76" s="1154"/>
    </row>
    <row r="77" spans="1:75" s="1148" customFormat="1" ht="21.95" hidden="1" customHeight="1" outlineLevel="1">
      <c r="A77" s="1248"/>
      <c r="B77" s="694"/>
      <c r="C77" s="663">
        <f t="shared" si="24"/>
        <v>0</v>
      </c>
      <c r="D77" s="852"/>
      <c r="E77" s="661"/>
      <c r="F77" s="661"/>
      <c r="G77" s="661"/>
      <c r="H77" s="661"/>
      <c r="I77" s="661"/>
      <c r="J77" s="661"/>
      <c r="K77" s="1247"/>
      <c r="L77" s="661"/>
      <c r="M77" s="661"/>
      <c r="N77" s="661"/>
      <c r="O77" s="661"/>
      <c r="P77" s="661"/>
      <c r="Q77" s="661">
        <f>R77+S77</f>
        <v>0</v>
      </c>
      <c r="R77" s="661"/>
      <c r="S77" s="661"/>
      <c r="T77" s="661">
        <f>U77+V77</f>
        <v>0</v>
      </c>
      <c r="U77" s="661"/>
      <c r="V77" s="681"/>
      <c r="W77" s="679">
        <f t="shared" si="28"/>
        <v>0</v>
      </c>
      <c r="X77" s="680"/>
      <c r="Y77" s="680"/>
      <c r="Z77" s="680"/>
      <c r="AA77" s="1147"/>
      <c r="AC77" s="1149"/>
      <c r="AG77" s="1150"/>
      <c r="AH77" s="1150"/>
      <c r="AI77" s="1150"/>
      <c r="AJ77" s="1150">
        <f t="shared" si="6"/>
        <v>0</v>
      </c>
      <c r="AK77" s="1150">
        <f t="shared" si="7"/>
        <v>0</v>
      </c>
      <c r="AL77" s="1151"/>
      <c r="AM77" s="1152"/>
      <c r="AN77" s="1153"/>
      <c r="AO77" s="1153"/>
      <c r="AP77" s="1154"/>
      <c r="AQ77" s="1154"/>
    </row>
    <row r="78" spans="1:75" s="836" customFormat="1" collapsed="1">
      <c r="A78" s="1476" t="s">
        <v>124</v>
      </c>
      <c r="B78" s="1477"/>
      <c r="C78" s="663">
        <f t="shared" si="24"/>
        <v>5287</v>
      </c>
      <c r="D78" s="852">
        <f>D63</f>
        <v>0</v>
      </c>
      <c r="E78" s="681">
        <f t="shared" ref="E78" si="32">F78+G78</f>
        <v>5117</v>
      </c>
      <c r="F78" s="690">
        <f>F63+F76+F77</f>
        <v>5117</v>
      </c>
      <c r="G78" s="690">
        <f>G63+G76+G77</f>
        <v>0</v>
      </c>
      <c r="H78" s="681">
        <f t="shared" ref="H78" si="33">I78+J78</f>
        <v>140</v>
      </c>
      <c r="I78" s="690">
        <f>I63+I76+I77</f>
        <v>140</v>
      </c>
      <c r="J78" s="690">
        <f>J63+J76+J77</f>
        <v>0</v>
      </c>
      <c r="K78" s="681">
        <f t="shared" si="27"/>
        <v>2577</v>
      </c>
      <c r="L78" s="690">
        <f>L63+L76+L77</f>
        <v>2577</v>
      </c>
      <c r="M78" s="690">
        <f>M63+M76+M77</f>
        <v>0</v>
      </c>
      <c r="N78" s="690">
        <f>O78+P78</f>
        <v>2570</v>
      </c>
      <c r="O78" s="690">
        <f>O63+O76+O77</f>
        <v>2570</v>
      </c>
      <c r="P78" s="690">
        <f>P63+P76+P77</f>
        <v>0</v>
      </c>
      <c r="Q78" s="690">
        <f>R78+S78</f>
        <v>0</v>
      </c>
      <c r="R78" s="690">
        <f>R63+R76+R77</f>
        <v>0</v>
      </c>
      <c r="S78" s="690">
        <f>S63+S76+S77</f>
        <v>0</v>
      </c>
      <c r="T78" s="690">
        <f>U78+V78</f>
        <v>0</v>
      </c>
      <c r="U78" s="690">
        <f>U63+U76+U77</f>
        <v>0</v>
      </c>
      <c r="V78" s="690">
        <f>V63+V76+V77</f>
        <v>0</v>
      </c>
      <c r="W78" s="679">
        <f t="shared" si="28"/>
        <v>5287</v>
      </c>
      <c r="X78" s="697"/>
      <c r="Y78" s="690" t="e">
        <f>#REF!</f>
        <v>#REF!</v>
      </c>
      <c r="Z78" s="690" t="e">
        <f>#REF!</f>
        <v>#REF!</v>
      </c>
      <c r="AA78" s="1003"/>
      <c r="AC78" s="841" t="e">
        <f>#REF!+E78+H78+K78+N78</f>
        <v>#REF!</v>
      </c>
      <c r="AG78" s="1050"/>
      <c r="AH78" s="1050"/>
      <c r="AI78" s="1050"/>
      <c r="AJ78" s="1050">
        <f t="shared" si="6"/>
        <v>0</v>
      </c>
      <c r="AK78" s="1050">
        <f t="shared" si="7"/>
        <v>0</v>
      </c>
      <c r="AL78" s="1051"/>
      <c r="AM78" s="1061"/>
      <c r="AN78" s="1037"/>
      <c r="AO78" s="1037"/>
      <c r="AP78" s="1029"/>
      <c r="AQ78" s="1030"/>
      <c r="AR78" s="1021"/>
      <c r="AS78" s="1021"/>
      <c r="AT78" s="1021"/>
      <c r="AU78" s="1021"/>
      <c r="AV78" s="1021"/>
      <c r="AW78" s="1021"/>
      <c r="AX78" s="1021"/>
      <c r="AY78" s="1021"/>
      <c r="AZ78" s="1021"/>
      <c r="BA78" s="1021"/>
      <c r="BB78" s="1021"/>
      <c r="BC78" s="1021"/>
      <c r="BD78" s="1021"/>
      <c r="BE78" s="1021"/>
      <c r="BF78" s="1021"/>
      <c r="BG78" s="1021"/>
      <c r="BH78" s="1021"/>
      <c r="BI78" s="1021"/>
      <c r="BJ78" s="1021"/>
      <c r="BK78" s="1021"/>
      <c r="BL78" s="1021"/>
      <c r="BM78" s="1021"/>
      <c r="BN78" s="1021"/>
      <c r="BO78" s="1021"/>
      <c r="BP78" s="1021"/>
      <c r="BQ78" s="1021"/>
      <c r="BR78" s="1021"/>
      <c r="BS78" s="1021"/>
      <c r="BT78" s="1021"/>
      <c r="BU78" s="1021"/>
      <c r="BV78" s="1021"/>
      <c r="BW78" s="1021"/>
    </row>
    <row r="79" spans="1:75">
      <c r="A79" s="1479" t="s">
        <v>168</v>
      </c>
      <c r="B79" s="1480"/>
      <c r="C79" s="1480"/>
      <c r="D79" s="1480"/>
      <c r="E79" s="1480"/>
      <c r="F79" s="1480"/>
      <c r="G79" s="1480"/>
      <c r="H79" s="1480"/>
      <c r="I79" s="1480"/>
      <c r="J79" s="1480"/>
      <c r="K79" s="1480"/>
      <c r="L79" s="1480"/>
      <c r="M79" s="1480"/>
      <c r="N79" s="1440"/>
      <c r="O79" s="1440"/>
      <c r="P79" s="1440"/>
      <c r="Q79" s="1440"/>
      <c r="R79" s="1440"/>
      <c r="S79" s="1440"/>
      <c r="T79" s="1440"/>
      <c r="U79" s="1440"/>
      <c r="V79" s="1440"/>
      <c r="W79" s="1016">
        <f t="shared" si="28"/>
        <v>0</v>
      </c>
      <c r="X79" s="680"/>
      <c r="Y79" s="680"/>
      <c r="Z79" s="680"/>
      <c r="AA79" s="1001"/>
      <c r="AC79" s="841" t="e">
        <f>#REF!+E79+H79+K79+N79</f>
        <v>#REF!</v>
      </c>
      <c r="AJ79" s="1050">
        <f t="shared" si="6"/>
        <v>0</v>
      </c>
      <c r="AK79" s="1050">
        <f t="shared" si="7"/>
        <v>0</v>
      </c>
      <c r="AM79" s="1061"/>
    </row>
    <row r="80" spans="1:75" ht="44.25" customHeight="1">
      <c r="A80" s="1192">
        <v>14</v>
      </c>
      <c r="B80" s="1108" t="s">
        <v>722</v>
      </c>
      <c r="C80" s="663">
        <f>H80+K80+N80+Q80+T80</f>
        <v>1315</v>
      </c>
      <c r="D80" s="853">
        <v>286</v>
      </c>
      <c r="E80" s="661">
        <f t="shared" ref="E80:E88" si="34">F80+G80</f>
        <v>400</v>
      </c>
      <c r="F80" s="698">
        <f>150+100+150</f>
        <v>400</v>
      </c>
      <c r="G80" s="698">
        <v>0</v>
      </c>
      <c r="H80" s="661">
        <f t="shared" ref="H80:H88" si="35">I80+J80</f>
        <v>315</v>
      </c>
      <c r="I80" s="698">
        <f>250+65</f>
        <v>315</v>
      </c>
      <c r="J80" s="698">
        <v>0</v>
      </c>
      <c r="K80" s="661">
        <f t="shared" ref="K80:K87" si="36">L80+M80</f>
        <v>250</v>
      </c>
      <c r="L80" s="698">
        <f>150+100</f>
        <v>250</v>
      </c>
      <c r="M80" s="698">
        <v>0</v>
      </c>
      <c r="N80" s="661">
        <f t="shared" ref="N80:N88" si="37">O80+P80</f>
        <v>250</v>
      </c>
      <c r="O80" s="698">
        <v>250</v>
      </c>
      <c r="P80" s="698"/>
      <c r="Q80" s="698">
        <f>R80</f>
        <v>250</v>
      </c>
      <c r="R80" s="698">
        <v>250</v>
      </c>
      <c r="S80" s="698"/>
      <c r="T80" s="698">
        <f>U80</f>
        <v>250</v>
      </c>
      <c r="U80" s="698">
        <v>250</v>
      </c>
      <c r="V80" s="698"/>
      <c r="W80" s="663">
        <f t="shared" si="28"/>
        <v>1315</v>
      </c>
      <c r="X80" s="699"/>
      <c r="Y80" s="699"/>
      <c r="Z80" s="699"/>
      <c r="AA80" s="1177"/>
      <c r="AC80" s="841" t="e">
        <f>#REF!+E80+H80+K80+N80</f>
        <v>#REF!</v>
      </c>
      <c r="AG80" s="1186">
        <v>250</v>
      </c>
      <c r="AH80" s="1186">
        <v>250</v>
      </c>
      <c r="AI80" s="1186">
        <v>0</v>
      </c>
      <c r="AJ80" s="1186">
        <f t="shared" si="6"/>
        <v>0</v>
      </c>
      <c r="AK80" s="1186">
        <f t="shared" si="7"/>
        <v>0</v>
      </c>
      <c r="AL80" s="1187"/>
      <c r="AM80" s="1188"/>
      <c r="AN80" s="1189"/>
      <c r="AO80" s="1189"/>
      <c r="AP80" s="842"/>
      <c r="AQ80" s="842"/>
      <c r="AR80" s="664"/>
      <c r="AS80" s="664"/>
      <c r="AT80" s="664"/>
      <c r="AU80" s="664"/>
      <c r="AV80" s="664"/>
      <c r="AW80" s="664"/>
      <c r="AX80" s="664"/>
      <c r="AY80" s="664"/>
      <c r="AZ80" s="664"/>
      <c r="BA80" s="664"/>
      <c r="BB80" s="664"/>
      <c r="BC80" s="664"/>
      <c r="BD80" s="664"/>
      <c r="BE80" s="664"/>
      <c r="BF80" s="664"/>
      <c r="BG80" s="664"/>
      <c r="BH80" s="664"/>
      <c r="BI80" s="664"/>
      <c r="BJ80" s="664"/>
      <c r="BK80" s="664"/>
      <c r="BL80" s="664"/>
      <c r="BM80" s="664"/>
      <c r="BN80" s="664"/>
      <c r="BO80" s="664"/>
      <c r="BP80" s="664"/>
      <c r="BQ80" s="664"/>
      <c r="BR80" s="664"/>
      <c r="BS80" s="664"/>
      <c r="BT80" s="664"/>
      <c r="BU80" s="664"/>
      <c r="BV80" s="664"/>
      <c r="BW80" s="664"/>
    </row>
    <row r="81" spans="1:75" ht="20.100000000000001" customHeight="1">
      <c r="A81" s="1193">
        <v>15</v>
      </c>
      <c r="B81" s="695" t="s">
        <v>826</v>
      </c>
      <c r="C81" s="663">
        <f>H81+K81+N81+Q81+T81</f>
        <v>1825</v>
      </c>
      <c r="D81" s="1004">
        <v>68</v>
      </c>
      <c r="E81" s="661">
        <f t="shared" si="34"/>
        <v>430</v>
      </c>
      <c r="F81" s="660">
        <v>430</v>
      </c>
      <c r="G81" s="1005"/>
      <c r="H81" s="661">
        <f t="shared" si="35"/>
        <v>125</v>
      </c>
      <c r="I81" s="1005">
        <v>125</v>
      </c>
      <c r="J81" s="1005"/>
      <c r="K81" s="661">
        <f t="shared" si="36"/>
        <v>300</v>
      </c>
      <c r="L81" s="1005">
        <v>300</v>
      </c>
      <c r="M81" s="1005"/>
      <c r="N81" s="661">
        <f t="shared" si="37"/>
        <v>400</v>
      </c>
      <c r="O81" s="1005">
        <v>400</v>
      </c>
      <c r="P81" s="1005"/>
      <c r="Q81" s="1005">
        <f>R81+S81</f>
        <v>500</v>
      </c>
      <c r="R81" s="1005">
        <v>500</v>
      </c>
      <c r="S81" s="1005"/>
      <c r="T81" s="1005">
        <f>U81+V81</f>
        <v>500</v>
      </c>
      <c r="U81" s="1005">
        <v>500</v>
      </c>
      <c r="V81" s="1005"/>
      <c r="W81" s="663">
        <f t="shared" si="28"/>
        <v>1825</v>
      </c>
      <c r="X81" s="699"/>
      <c r="Y81" s="699"/>
      <c r="Z81" s="699"/>
      <c r="AA81" s="1177"/>
      <c r="AC81" s="841" t="e">
        <f>#REF!+E81+H81+K81+N81</f>
        <v>#REF!</v>
      </c>
      <c r="AG81" s="1186">
        <v>1025</v>
      </c>
      <c r="AH81" s="1186">
        <f>300-125</f>
        <v>175</v>
      </c>
      <c r="AI81" s="1186">
        <v>0</v>
      </c>
      <c r="AJ81" s="1186">
        <f t="shared" si="6"/>
        <v>850</v>
      </c>
      <c r="AK81" s="1186"/>
      <c r="AL81" s="1187"/>
      <c r="AM81" s="1188"/>
      <c r="AN81" s="1189"/>
      <c r="AO81" s="1189"/>
      <c r="AP81" s="842"/>
      <c r="AQ81" s="842"/>
      <c r="AR81" s="664"/>
      <c r="AS81" s="664"/>
      <c r="AT81" s="664"/>
      <c r="AU81" s="664"/>
      <c r="AV81" s="664"/>
      <c r="AW81" s="664"/>
      <c r="AX81" s="664"/>
      <c r="AY81" s="664"/>
      <c r="AZ81" s="664"/>
      <c r="BA81" s="664"/>
      <c r="BB81" s="664"/>
      <c r="BC81" s="664"/>
      <c r="BD81" s="664"/>
      <c r="BE81" s="664"/>
      <c r="BF81" s="664"/>
      <c r="BG81" s="664"/>
      <c r="BH81" s="664"/>
      <c r="BI81" s="664"/>
      <c r="BJ81" s="664"/>
      <c r="BK81" s="664"/>
      <c r="BL81" s="664"/>
      <c r="BM81" s="664"/>
      <c r="BN81" s="664"/>
      <c r="BO81" s="664"/>
      <c r="BP81" s="664"/>
      <c r="BQ81" s="664"/>
      <c r="BR81" s="664"/>
      <c r="BS81" s="664"/>
      <c r="BT81" s="664"/>
      <c r="BU81" s="664"/>
      <c r="BV81" s="664"/>
      <c r="BW81" s="664"/>
    </row>
    <row r="82" spans="1:75" ht="20.100000000000001" customHeight="1">
      <c r="A82" s="1176">
        <v>16</v>
      </c>
      <c r="B82" s="695" t="s">
        <v>832</v>
      </c>
      <c r="C82" s="663">
        <f t="shared" ref="C82:C88" si="38">H82+K82+N82+Q82+T82</f>
        <v>220</v>
      </c>
      <c r="D82" s="1004"/>
      <c r="E82" s="661">
        <f t="shared" si="34"/>
        <v>0</v>
      </c>
      <c r="F82" s="660">
        <v>0</v>
      </c>
      <c r="G82" s="1005"/>
      <c r="H82" s="661">
        <f t="shared" si="35"/>
        <v>0</v>
      </c>
      <c r="I82" s="1005">
        <v>0</v>
      </c>
      <c r="J82" s="1005"/>
      <c r="K82" s="661">
        <f t="shared" si="36"/>
        <v>100</v>
      </c>
      <c r="L82" s="1005">
        <v>100</v>
      </c>
      <c r="M82" s="1005"/>
      <c r="N82" s="661">
        <f t="shared" si="37"/>
        <v>120</v>
      </c>
      <c r="O82" s="1005">
        <v>120</v>
      </c>
      <c r="P82" s="1005"/>
      <c r="Q82" s="1005">
        <f>R82+S82</f>
        <v>0</v>
      </c>
      <c r="R82" s="1005">
        <f>2175*0</f>
        <v>0</v>
      </c>
      <c r="S82" s="1005">
        <f>3825*0</f>
        <v>0</v>
      </c>
      <c r="T82" s="1005"/>
      <c r="U82" s="1005"/>
      <c r="V82" s="1005"/>
      <c r="W82" s="663">
        <f t="shared" si="28"/>
        <v>220</v>
      </c>
      <c r="X82" s="699"/>
      <c r="Y82" s="699"/>
      <c r="Z82" s="699"/>
      <c r="AA82" s="1177"/>
      <c r="AC82" s="841" t="e">
        <f>#REF!+E82+H82+K82+N82</f>
        <v>#REF!</v>
      </c>
      <c r="AG82" s="1186">
        <v>200</v>
      </c>
      <c r="AH82" s="1186">
        <v>0</v>
      </c>
      <c r="AI82" s="1186">
        <v>0</v>
      </c>
      <c r="AJ82" s="1186">
        <f t="shared" ref="AJ82:AJ90" si="39">AG82-AH82-AI82</f>
        <v>200</v>
      </c>
      <c r="AK82" s="1186"/>
      <c r="AL82" s="1187"/>
      <c r="AM82" s="1188"/>
      <c r="AN82" s="1189"/>
      <c r="AO82" s="1189"/>
      <c r="AP82" s="842"/>
      <c r="AQ82" s="842"/>
      <c r="AR82" s="664"/>
      <c r="AS82" s="664"/>
      <c r="AT82" s="664"/>
      <c r="AU82" s="664"/>
      <c r="AV82" s="664"/>
      <c r="AW82" s="664"/>
      <c r="AX82" s="664"/>
      <c r="AY82" s="664"/>
      <c r="AZ82" s="664"/>
      <c r="BA82" s="664"/>
      <c r="BB82" s="664"/>
      <c r="BC82" s="664"/>
      <c r="BD82" s="664"/>
      <c r="BE82" s="664"/>
      <c r="BF82" s="664"/>
      <c r="BG82" s="664"/>
      <c r="BH82" s="664"/>
      <c r="BI82" s="664"/>
      <c r="BJ82" s="664"/>
      <c r="BK82" s="664"/>
      <c r="BL82" s="664"/>
      <c r="BM82" s="664"/>
      <c r="BN82" s="664"/>
      <c r="BO82" s="664"/>
      <c r="BP82" s="664"/>
      <c r="BQ82" s="664"/>
      <c r="BR82" s="664"/>
      <c r="BS82" s="664"/>
      <c r="BT82" s="664"/>
      <c r="BU82" s="664"/>
      <c r="BV82" s="664"/>
      <c r="BW82" s="664"/>
    </row>
    <row r="83" spans="1:75" ht="20.100000000000001" hidden="1" customHeight="1" outlineLevel="1">
      <c r="A83" s="1193"/>
      <c r="B83" s="1112"/>
      <c r="C83" s="663">
        <f t="shared" si="38"/>
        <v>0</v>
      </c>
      <c r="D83" s="862"/>
      <c r="E83" s="661">
        <f t="shared" si="34"/>
        <v>0</v>
      </c>
      <c r="F83" s="698">
        <v>0</v>
      </c>
      <c r="G83" s="861"/>
      <c r="H83" s="661">
        <f t="shared" si="35"/>
        <v>0</v>
      </c>
      <c r="I83" s="861">
        <v>0</v>
      </c>
      <c r="J83" s="861"/>
      <c r="K83" s="661">
        <f t="shared" si="36"/>
        <v>0</v>
      </c>
      <c r="L83" s="861">
        <v>0</v>
      </c>
      <c r="M83" s="861"/>
      <c r="N83" s="661">
        <f t="shared" si="37"/>
        <v>0</v>
      </c>
      <c r="O83" s="861">
        <v>0</v>
      </c>
      <c r="P83" s="861"/>
      <c r="Q83" s="861">
        <f t="shared" ref="Q83:Q86" si="40">R83+S83</f>
        <v>0</v>
      </c>
      <c r="R83" s="861">
        <v>0</v>
      </c>
      <c r="S83" s="861"/>
      <c r="T83" s="861"/>
      <c r="U83" s="861"/>
      <c r="V83" s="861"/>
      <c r="W83" s="663">
        <f t="shared" si="28"/>
        <v>0</v>
      </c>
      <c r="X83" s="699"/>
      <c r="Y83" s="699"/>
      <c r="Z83" s="699"/>
      <c r="AA83" s="1177"/>
      <c r="AC83" s="841"/>
      <c r="AG83" s="1186">
        <v>100</v>
      </c>
      <c r="AH83" s="1186">
        <v>0</v>
      </c>
      <c r="AI83" s="1186">
        <v>0</v>
      </c>
      <c r="AJ83" s="1186">
        <f t="shared" si="39"/>
        <v>100</v>
      </c>
      <c r="AK83" s="1186"/>
      <c r="AL83" s="1187"/>
      <c r="AM83" s="1188"/>
      <c r="AN83" s="1189"/>
      <c r="AO83" s="1189"/>
      <c r="AP83" s="842"/>
      <c r="AQ83" s="842"/>
      <c r="AR83" s="664"/>
      <c r="AS83" s="664"/>
      <c r="AT83" s="664"/>
      <c r="AU83" s="664"/>
      <c r="AV83" s="664"/>
      <c r="AW83" s="664"/>
      <c r="AX83" s="664"/>
      <c r="AY83" s="664"/>
      <c r="AZ83" s="664"/>
      <c r="BA83" s="664"/>
      <c r="BB83" s="664"/>
      <c r="BC83" s="664"/>
      <c r="BD83" s="664"/>
      <c r="BE83" s="664"/>
      <c r="BF83" s="664"/>
      <c r="BG83" s="664"/>
      <c r="BH83" s="664"/>
      <c r="BI83" s="664"/>
      <c r="BJ83" s="664"/>
      <c r="BK83" s="664"/>
      <c r="BL83" s="664"/>
      <c r="BM83" s="664"/>
      <c r="BN83" s="664"/>
      <c r="BO83" s="664"/>
      <c r="BP83" s="664"/>
      <c r="BQ83" s="664"/>
      <c r="BR83" s="664"/>
      <c r="BS83" s="664"/>
      <c r="BT83" s="664"/>
      <c r="BU83" s="664"/>
      <c r="BV83" s="664"/>
      <c r="BW83" s="664"/>
    </row>
    <row r="84" spans="1:75" ht="20.100000000000001" hidden="1" customHeight="1" collapsed="1">
      <c r="A84" s="1192">
        <v>17</v>
      </c>
      <c r="B84" s="1112" t="s">
        <v>931</v>
      </c>
      <c r="C84" s="663">
        <f>H84+K84+N84+Q84+T84</f>
        <v>0</v>
      </c>
      <c r="D84" s="862"/>
      <c r="E84" s="661">
        <f t="shared" si="34"/>
        <v>0</v>
      </c>
      <c r="F84" s="698"/>
      <c r="G84" s="861"/>
      <c r="H84" s="661">
        <f t="shared" si="35"/>
        <v>0</v>
      </c>
      <c r="I84" s="861"/>
      <c r="J84" s="861"/>
      <c r="K84" s="661">
        <f>L84+M84</f>
        <v>0</v>
      </c>
      <c r="L84" s="861"/>
      <c r="M84" s="861"/>
      <c r="N84" s="661">
        <f>O84+P84</f>
        <v>0</v>
      </c>
      <c r="O84" s="861"/>
      <c r="P84" s="861"/>
      <c r="Q84" s="861">
        <f t="shared" si="40"/>
        <v>0</v>
      </c>
      <c r="R84" s="861"/>
      <c r="S84" s="861"/>
      <c r="T84" s="861">
        <f>U84</f>
        <v>0</v>
      </c>
      <c r="U84" s="861">
        <f>3000*0</f>
        <v>0</v>
      </c>
      <c r="V84" s="861"/>
      <c r="W84" s="663">
        <f>C84</f>
        <v>0</v>
      </c>
      <c r="X84" s="699"/>
      <c r="Y84" s="699"/>
      <c r="Z84" s="699"/>
      <c r="AA84" s="1177"/>
      <c r="AC84" s="841"/>
      <c r="AG84" s="1186">
        <v>200</v>
      </c>
      <c r="AH84" s="1186">
        <v>50</v>
      </c>
      <c r="AI84" s="1186">
        <v>150</v>
      </c>
      <c r="AJ84" s="1186">
        <f t="shared" si="39"/>
        <v>0</v>
      </c>
      <c r="AK84" s="1186">
        <f t="shared" ref="AK84:AK91" si="41">AG84-AH84-AI84</f>
        <v>0</v>
      </c>
      <c r="AL84" s="1187"/>
      <c r="AM84" s="1188"/>
      <c r="AN84" s="1189"/>
      <c r="AO84" s="1189"/>
      <c r="AP84" s="842"/>
      <c r="AQ84" s="842"/>
      <c r="AR84" s="664"/>
      <c r="AS84" s="664"/>
      <c r="AT84" s="664"/>
      <c r="AU84" s="664"/>
      <c r="AV84" s="664"/>
      <c r="AW84" s="664"/>
      <c r="AX84" s="664"/>
      <c r="AY84" s="664"/>
      <c r="AZ84" s="664"/>
      <c r="BA84" s="664"/>
      <c r="BB84" s="664"/>
      <c r="BC84" s="664"/>
      <c r="BD84" s="664"/>
      <c r="BE84" s="664"/>
      <c r="BF84" s="664"/>
      <c r="BG84" s="664"/>
      <c r="BH84" s="664"/>
      <c r="BI84" s="664"/>
      <c r="BJ84" s="664"/>
      <c r="BK84" s="664"/>
      <c r="BL84" s="664"/>
      <c r="BM84" s="664"/>
      <c r="BN84" s="664"/>
      <c r="BO84" s="664"/>
      <c r="BP84" s="664"/>
      <c r="BQ84" s="664"/>
      <c r="BR84" s="664"/>
      <c r="BS84" s="664"/>
      <c r="BT84" s="664"/>
      <c r="BU84" s="664"/>
      <c r="BV84" s="664"/>
      <c r="BW84" s="664"/>
    </row>
    <row r="85" spans="1:75" ht="31.5" customHeight="1">
      <c r="A85" s="1193">
        <v>17</v>
      </c>
      <c r="B85" s="1112" t="s">
        <v>941</v>
      </c>
      <c r="C85" s="663">
        <f>H85+K85+N85+Q85+T85</f>
        <v>1500</v>
      </c>
      <c r="D85" s="862">
        <v>296</v>
      </c>
      <c r="E85" s="661">
        <f t="shared" si="34"/>
        <v>340</v>
      </c>
      <c r="F85" s="698">
        <v>340</v>
      </c>
      <c r="G85" s="861"/>
      <c r="H85" s="661">
        <f t="shared" si="35"/>
        <v>300</v>
      </c>
      <c r="I85" s="861">
        <v>300</v>
      </c>
      <c r="J85" s="861"/>
      <c r="K85" s="661">
        <f t="shared" si="36"/>
        <v>300</v>
      </c>
      <c r="L85" s="861">
        <v>300</v>
      </c>
      <c r="M85" s="861"/>
      <c r="N85" s="661">
        <f t="shared" si="37"/>
        <v>300</v>
      </c>
      <c r="O85" s="861">
        <v>300</v>
      </c>
      <c r="P85" s="861"/>
      <c r="Q85" s="861">
        <f t="shared" si="40"/>
        <v>300</v>
      </c>
      <c r="R85" s="861">
        <v>300</v>
      </c>
      <c r="S85" s="861"/>
      <c r="T85" s="861">
        <f t="shared" ref="T85" si="42">U85+V85</f>
        <v>300</v>
      </c>
      <c r="U85" s="861">
        <v>300</v>
      </c>
      <c r="V85" s="861"/>
      <c r="W85" s="663">
        <f t="shared" si="28"/>
        <v>1500</v>
      </c>
      <c r="X85" s="699"/>
      <c r="Y85" s="699"/>
      <c r="Z85" s="699"/>
      <c r="AA85" s="1177"/>
      <c r="AC85" s="841"/>
      <c r="AG85" s="1186">
        <v>300</v>
      </c>
      <c r="AH85" s="1186">
        <v>300</v>
      </c>
      <c r="AI85" s="1186">
        <v>0</v>
      </c>
      <c r="AJ85" s="1186">
        <f t="shared" si="39"/>
        <v>0</v>
      </c>
      <c r="AK85" s="1186">
        <f t="shared" si="41"/>
        <v>0</v>
      </c>
      <c r="AL85" s="1187"/>
      <c r="AM85" s="1188"/>
      <c r="AN85" s="1189"/>
      <c r="AO85" s="1189"/>
      <c r="AP85" s="842"/>
      <c r="AQ85" s="842"/>
      <c r="AR85" s="664"/>
      <c r="AS85" s="664"/>
      <c r="AT85" s="664"/>
      <c r="AU85" s="664"/>
      <c r="AV85" s="664"/>
      <c r="AW85" s="664"/>
      <c r="AX85" s="664"/>
      <c r="AY85" s="664"/>
      <c r="AZ85" s="664"/>
      <c r="BA85" s="664"/>
      <c r="BB85" s="664"/>
      <c r="BC85" s="664"/>
      <c r="BD85" s="664"/>
      <c r="BE85" s="664"/>
      <c r="BF85" s="664"/>
      <c r="BG85" s="664"/>
      <c r="BH85" s="664"/>
      <c r="BI85" s="664"/>
      <c r="BJ85" s="664"/>
      <c r="BK85" s="664"/>
      <c r="BL85" s="664"/>
      <c r="BM85" s="664"/>
      <c r="BN85" s="664"/>
      <c r="BO85" s="664"/>
      <c r="BP85" s="664"/>
      <c r="BQ85" s="664"/>
      <c r="BR85" s="664"/>
      <c r="BS85" s="664"/>
      <c r="BT85" s="664"/>
      <c r="BU85" s="664"/>
      <c r="BV85" s="664"/>
      <c r="BW85" s="664"/>
    </row>
    <row r="86" spans="1:75" s="999" customFormat="1" ht="20.100000000000001" customHeight="1">
      <c r="A86" s="1249">
        <v>18</v>
      </c>
      <c r="B86" s="1112" t="s">
        <v>858</v>
      </c>
      <c r="C86" s="663">
        <f t="shared" si="38"/>
        <v>500</v>
      </c>
      <c r="D86" s="862"/>
      <c r="E86" s="661"/>
      <c r="F86" s="698"/>
      <c r="G86" s="861"/>
      <c r="H86" s="661">
        <f t="shared" si="35"/>
        <v>100</v>
      </c>
      <c r="I86" s="861">
        <v>100</v>
      </c>
      <c r="J86" s="861"/>
      <c r="K86" s="661">
        <f t="shared" si="36"/>
        <v>100</v>
      </c>
      <c r="L86" s="861">
        <v>100</v>
      </c>
      <c r="M86" s="861"/>
      <c r="N86" s="661">
        <f t="shared" si="37"/>
        <v>100</v>
      </c>
      <c r="O86" s="861">
        <v>100</v>
      </c>
      <c r="P86" s="861"/>
      <c r="Q86" s="861">
        <f t="shared" si="40"/>
        <v>100</v>
      </c>
      <c r="R86" s="861">
        <v>100</v>
      </c>
      <c r="S86" s="861"/>
      <c r="T86" s="861">
        <f>U86+V86</f>
        <v>100</v>
      </c>
      <c r="U86" s="861">
        <v>100</v>
      </c>
      <c r="V86" s="861"/>
      <c r="W86" s="663">
        <f t="shared" si="28"/>
        <v>500</v>
      </c>
      <c r="X86" s="699"/>
      <c r="Y86" s="699"/>
      <c r="Z86" s="699"/>
      <c r="AA86" s="1206"/>
      <c r="AC86" s="1207"/>
      <c r="AG86" s="1208"/>
      <c r="AH86" s="1208"/>
      <c r="AI86" s="1208"/>
      <c r="AJ86" s="1208"/>
      <c r="AK86" s="1208"/>
      <c r="AL86" s="1209"/>
      <c r="AM86" s="1210"/>
      <c r="AN86" s="1211"/>
      <c r="AO86" s="1211"/>
      <c r="AP86" s="1212"/>
      <c r="AQ86" s="1212"/>
    </row>
    <row r="87" spans="1:75" s="1148" customFormat="1" ht="26.25" customHeight="1">
      <c r="A87" s="1192">
        <v>19</v>
      </c>
      <c r="B87" s="1112" t="s">
        <v>932</v>
      </c>
      <c r="C87" s="663">
        <f t="shared" si="38"/>
        <v>14650</v>
      </c>
      <c r="D87" s="862">
        <v>643</v>
      </c>
      <c r="E87" s="661">
        <f>F87+G87</f>
        <v>700</v>
      </c>
      <c r="F87" s="698">
        <v>700</v>
      </c>
      <c r="G87" s="861"/>
      <c r="H87" s="661">
        <f t="shared" si="35"/>
        <v>0</v>
      </c>
      <c r="I87" s="861">
        <f>100*0</f>
        <v>0</v>
      </c>
      <c r="J87" s="861"/>
      <c r="K87" s="661">
        <f t="shared" si="36"/>
        <v>7500</v>
      </c>
      <c r="L87" s="861">
        <f>7000+500</f>
        <v>7500</v>
      </c>
      <c r="M87" s="861"/>
      <c r="N87" s="661">
        <f t="shared" si="37"/>
        <v>7150</v>
      </c>
      <c r="O87" s="861">
        <v>7150</v>
      </c>
      <c r="P87" s="861"/>
      <c r="Q87" s="861"/>
      <c r="R87" s="861"/>
      <c r="S87" s="861"/>
      <c r="T87" s="861"/>
      <c r="U87" s="861"/>
      <c r="V87" s="861"/>
      <c r="W87" s="663">
        <f t="shared" si="28"/>
        <v>14650</v>
      </c>
      <c r="X87" s="699"/>
      <c r="Y87" s="699"/>
      <c r="Z87" s="699"/>
      <c r="AA87" s="1147"/>
      <c r="AC87" s="1149" t="e">
        <f>#REF!+E87+H87+K87+N87</f>
        <v>#REF!</v>
      </c>
      <c r="AG87" s="1150">
        <v>700</v>
      </c>
      <c r="AH87" s="1150">
        <v>700</v>
      </c>
      <c r="AI87" s="1150">
        <v>0</v>
      </c>
      <c r="AJ87" s="1150">
        <f t="shared" si="39"/>
        <v>0</v>
      </c>
      <c r="AK87" s="1150">
        <f t="shared" si="41"/>
        <v>0</v>
      </c>
      <c r="AL87" s="1151"/>
      <c r="AM87" s="1152"/>
      <c r="AN87" s="1153"/>
      <c r="AO87" s="1153"/>
      <c r="AP87" s="1154"/>
      <c r="AQ87" s="1154"/>
    </row>
    <row r="88" spans="1:75" s="843" customFormat="1" ht="15.75" customHeight="1">
      <c r="A88" s="1475" t="s">
        <v>347</v>
      </c>
      <c r="B88" s="1475"/>
      <c r="C88" s="663">
        <f t="shared" si="38"/>
        <v>20010</v>
      </c>
      <c r="D88" s="691">
        <f>D80+D81+D85+D87</f>
        <v>1293</v>
      </c>
      <c r="E88" s="681">
        <f t="shared" si="34"/>
        <v>1870</v>
      </c>
      <c r="F88" s="690">
        <f>F80+F81+F82+F83+F84+F87+F85</f>
        <v>1870</v>
      </c>
      <c r="G88" s="690">
        <f>G80+G81+G82+G83+G84+G87+G85</f>
        <v>0</v>
      </c>
      <c r="H88" s="681">
        <f t="shared" si="35"/>
        <v>840</v>
      </c>
      <c r="I88" s="690">
        <f>I80+I81+I82+I83+I84+I85+I86+I87</f>
        <v>840</v>
      </c>
      <c r="J88" s="690">
        <f>J80+J81+J82+J83+J84+J85+J86+J87</f>
        <v>0</v>
      </c>
      <c r="K88" s="681">
        <f>L88+M88</f>
        <v>8550</v>
      </c>
      <c r="L88" s="690">
        <f>L80+L81+L82+L83+L84+L85+L86+L87</f>
        <v>8550</v>
      </c>
      <c r="M88" s="690">
        <f>M80+M81+M82+M83+M84+M85+M86+M87</f>
        <v>0</v>
      </c>
      <c r="N88" s="681">
        <f t="shared" si="37"/>
        <v>8320</v>
      </c>
      <c r="O88" s="690">
        <f>O80+O81+O82+O83+O84+O85+O86+O87</f>
        <v>8320</v>
      </c>
      <c r="P88" s="690">
        <f>P80+P81+P82+P83+P84+P85+P86+P87</f>
        <v>0</v>
      </c>
      <c r="Q88" s="690">
        <f>R88+S88</f>
        <v>1150</v>
      </c>
      <c r="R88" s="690">
        <f>R80+R81+R82+R83+R84+R85+R86+R87</f>
        <v>1150</v>
      </c>
      <c r="S88" s="690">
        <f>S80+S81+S82+S83+S84+S85+S86+S87</f>
        <v>0</v>
      </c>
      <c r="T88" s="690">
        <f>U88+V88</f>
        <v>1150</v>
      </c>
      <c r="U88" s="690">
        <f>U80+U81+U82+U83+U84+U85+U86+U87</f>
        <v>1150</v>
      </c>
      <c r="V88" s="690">
        <f>V80+V81+V82+V83+V84+V85+V86+V87</f>
        <v>0</v>
      </c>
      <c r="W88" s="679">
        <f t="shared" si="28"/>
        <v>20010</v>
      </c>
      <c r="X88" s="697" t="e">
        <f>Y88+Z88</f>
        <v>#REF!</v>
      </c>
      <c r="Y88" s="690" t="e">
        <f>#REF!+Y80+#REF!</f>
        <v>#REF!</v>
      </c>
      <c r="Z88" s="690" t="e">
        <f>#REF!+Z80+#REF!</f>
        <v>#REF!</v>
      </c>
      <c r="AA88" s="733"/>
      <c r="AC88" s="841" t="e">
        <f>#REF!+E88+H88+K88+N88</f>
        <v>#REF!</v>
      </c>
      <c r="AF88" s="1013"/>
      <c r="AG88" s="1049"/>
      <c r="AH88" s="1049"/>
      <c r="AI88" s="1049"/>
      <c r="AJ88" s="1050">
        <f t="shared" si="39"/>
        <v>0</v>
      </c>
      <c r="AK88" s="1050">
        <f t="shared" si="41"/>
        <v>0</v>
      </c>
      <c r="AL88" s="1036"/>
      <c r="AM88" s="1061"/>
      <c r="AN88" s="1045"/>
      <c r="AO88" s="1045"/>
      <c r="AP88" s="1046"/>
      <c r="AQ88" s="103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1024"/>
    </row>
    <row r="89" spans="1:75" ht="28.5" customHeight="1">
      <c r="A89" s="1487" t="s">
        <v>348</v>
      </c>
      <c r="B89" s="1488"/>
      <c r="C89" s="1488"/>
      <c r="D89" s="1488"/>
      <c r="E89" s="1488"/>
      <c r="F89" s="1488"/>
      <c r="G89" s="1488"/>
      <c r="H89" s="1488"/>
      <c r="I89" s="1488"/>
      <c r="J89" s="1488"/>
      <c r="K89" s="1488"/>
      <c r="L89" s="1488"/>
      <c r="M89" s="1488"/>
      <c r="N89" s="1488"/>
      <c r="O89" s="1488"/>
      <c r="P89" s="1488"/>
      <c r="Q89" s="1488"/>
      <c r="R89" s="1488"/>
      <c r="S89" s="1488"/>
      <c r="T89" s="1488"/>
      <c r="U89" s="1488"/>
      <c r="V89" s="1488"/>
      <c r="W89" s="1489"/>
      <c r="X89" s="745"/>
      <c r="Y89" s="745"/>
      <c r="Z89" s="746"/>
      <c r="AA89" s="1001"/>
      <c r="AC89" s="841" t="e">
        <f>#REF!+E89+H89+K89+N89</f>
        <v>#REF!</v>
      </c>
      <c r="AJ89" s="1050">
        <f t="shared" si="39"/>
        <v>0</v>
      </c>
      <c r="AK89" s="1050">
        <f t="shared" si="41"/>
        <v>0</v>
      </c>
      <c r="AM89" s="1061"/>
    </row>
    <row r="90" spans="1:75" ht="20.100000000000001" customHeight="1">
      <c r="A90" s="1194">
        <v>20</v>
      </c>
      <c r="B90" s="695" t="s">
        <v>11</v>
      </c>
      <c r="C90" s="663">
        <f>H90+K90+N90+Q90+T90</f>
        <v>750</v>
      </c>
      <c r="D90" s="852">
        <v>752</v>
      </c>
      <c r="E90" s="661">
        <f t="shared" ref="E90:E95" si="43">F90+G90</f>
        <v>150</v>
      </c>
      <c r="F90" s="661">
        <v>150</v>
      </c>
      <c r="G90" s="661"/>
      <c r="H90" s="661">
        <f t="shared" ref="H90:H95" si="44">I90+J90</f>
        <v>150</v>
      </c>
      <c r="I90" s="661">
        <v>150</v>
      </c>
      <c r="J90" s="661"/>
      <c r="K90" s="661">
        <f t="shared" ref="K90:K95" si="45">L90+M90</f>
        <v>150</v>
      </c>
      <c r="L90" s="661">
        <v>150</v>
      </c>
      <c r="M90" s="661"/>
      <c r="N90" s="661">
        <f>O90+P90</f>
        <v>150</v>
      </c>
      <c r="O90" s="661">
        <v>150</v>
      </c>
      <c r="P90" s="661"/>
      <c r="Q90" s="661">
        <f>R90+S90</f>
        <v>150</v>
      </c>
      <c r="R90" s="661">
        <v>150</v>
      </c>
      <c r="S90" s="661"/>
      <c r="T90" s="661">
        <f t="shared" ref="T90:T95" si="46">U90+V90</f>
        <v>150</v>
      </c>
      <c r="U90" s="661">
        <v>150</v>
      </c>
      <c r="V90" s="661"/>
      <c r="W90" s="663">
        <f t="shared" si="28"/>
        <v>750</v>
      </c>
      <c r="X90" s="680">
        <f t="shared" ref="X90:X95" si="47">Y90+Z90</f>
        <v>0</v>
      </c>
      <c r="Y90" s="680">
        <f>150*0</f>
        <v>0</v>
      </c>
      <c r="Z90" s="680"/>
      <c r="AA90" s="1177"/>
      <c r="AC90" s="841" t="e">
        <f>#REF!+E90+H90+K90+N90</f>
        <v>#REF!</v>
      </c>
      <c r="AG90" s="1186">
        <v>150</v>
      </c>
      <c r="AH90" s="1186">
        <v>150</v>
      </c>
      <c r="AI90" s="1186">
        <v>0</v>
      </c>
      <c r="AJ90" s="1186">
        <f t="shared" si="39"/>
        <v>0</v>
      </c>
      <c r="AK90" s="1186">
        <f t="shared" si="41"/>
        <v>0</v>
      </c>
      <c r="AL90" s="1187"/>
      <c r="AM90" s="1188"/>
      <c r="AN90" s="1189"/>
      <c r="AO90" s="1189"/>
      <c r="AP90" s="842"/>
      <c r="AQ90" s="842"/>
      <c r="AR90" s="664"/>
      <c r="AS90" s="664"/>
      <c r="AT90" s="664"/>
      <c r="AU90" s="664"/>
      <c r="AV90" s="664"/>
      <c r="AW90" s="664"/>
      <c r="AX90" s="664"/>
      <c r="AY90" s="664"/>
      <c r="AZ90" s="664"/>
      <c r="BA90" s="664"/>
      <c r="BB90" s="664"/>
      <c r="BC90" s="664"/>
      <c r="BD90" s="664"/>
      <c r="BE90" s="664"/>
      <c r="BF90" s="664"/>
      <c r="BG90" s="664"/>
      <c r="BH90" s="664"/>
      <c r="BI90" s="664"/>
      <c r="BJ90" s="664"/>
      <c r="BK90" s="664"/>
      <c r="BL90" s="664"/>
      <c r="BM90" s="664"/>
      <c r="BN90" s="664"/>
      <c r="BO90" s="664"/>
      <c r="BP90" s="664"/>
      <c r="BQ90" s="664"/>
      <c r="BR90" s="664"/>
      <c r="BS90" s="664"/>
      <c r="BT90" s="664"/>
      <c r="BU90" s="664"/>
      <c r="BV90" s="664"/>
      <c r="BW90" s="664"/>
    </row>
    <row r="91" spans="1:75" ht="36.75" customHeight="1">
      <c r="A91" s="1194">
        <v>21</v>
      </c>
      <c r="B91" s="1108" t="s">
        <v>956</v>
      </c>
      <c r="C91" s="663">
        <f t="shared" ref="C91:C94" si="48">H91+K91+N91+Q91+T91</f>
        <v>3500</v>
      </c>
      <c r="D91" s="1004">
        <v>784</v>
      </c>
      <c r="E91" s="693">
        <f t="shared" si="43"/>
        <v>1675</v>
      </c>
      <c r="F91" s="693">
        <v>1675</v>
      </c>
      <c r="G91" s="693"/>
      <c r="H91" s="693">
        <f t="shared" si="44"/>
        <v>500</v>
      </c>
      <c r="I91" s="661">
        <v>500</v>
      </c>
      <c r="J91" s="661"/>
      <c r="K91" s="661">
        <f t="shared" si="45"/>
        <v>500</v>
      </c>
      <c r="L91" s="661">
        <v>500</v>
      </c>
      <c r="M91" s="661"/>
      <c r="N91" s="661">
        <f>O91+P91</f>
        <v>500</v>
      </c>
      <c r="O91" s="661">
        <v>500</v>
      </c>
      <c r="P91" s="661"/>
      <c r="Q91" s="661">
        <f t="shared" ref="Q91:Q95" si="49">R91+S91</f>
        <v>1000</v>
      </c>
      <c r="R91" s="661">
        <v>1000</v>
      </c>
      <c r="S91" s="661"/>
      <c r="T91" s="661">
        <f t="shared" si="46"/>
        <v>1000</v>
      </c>
      <c r="U91" s="661">
        <v>1000</v>
      </c>
      <c r="V91" s="661"/>
      <c r="W91" s="663">
        <f t="shared" si="28"/>
        <v>3500</v>
      </c>
      <c r="X91" s="680">
        <f t="shared" si="47"/>
        <v>0</v>
      </c>
      <c r="Y91" s="680">
        <f>500*0</f>
        <v>0</v>
      </c>
      <c r="Z91" s="680"/>
      <c r="AA91" s="1177"/>
      <c r="AC91" s="841" t="e">
        <f>#REF!+E91+H91+K91+N91</f>
        <v>#REF!</v>
      </c>
      <c r="AG91" s="1195">
        <v>500</v>
      </c>
      <c r="AH91" s="1195">
        <v>1000</v>
      </c>
      <c r="AI91" s="1195">
        <v>0</v>
      </c>
      <c r="AJ91" s="1195"/>
      <c r="AK91" s="1195">
        <f t="shared" si="41"/>
        <v>-500</v>
      </c>
      <c r="AL91" s="1189"/>
      <c r="AM91" s="1188"/>
      <c r="AN91" s="1189"/>
      <c r="AO91" s="1189"/>
      <c r="AP91" s="842"/>
      <c r="AQ91" s="842"/>
      <c r="AR91" s="664"/>
      <c r="AS91" s="664"/>
      <c r="AT91" s="664"/>
      <c r="AU91" s="664"/>
      <c r="AV91" s="664"/>
      <c r="AW91" s="664"/>
      <c r="AX91" s="664"/>
      <c r="AY91" s="664"/>
      <c r="AZ91" s="664"/>
      <c r="BA91" s="664"/>
      <c r="BB91" s="664"/>
      <c r="BC91" s="664"/>
      <c r="BD91" s="664"/>
      <c r="BE91" s="664"/>
      <c r="BF91" s="664"/>
      <c r="BG91" s="664"/>
      <c r="BH91" s="664"/>
      <c r="BI91" s="664"/>
      <c r="BJ91" s="664"/>
      <c r="BK91" s="664"/>
      <c r="BL91" s="664"/>
      <c r="BM91" s="664"/>
      <c r="BN91" s="664"/>
      <c r="BO91" s="664"/>
      <c r="BP91" s="664"/>
      <c r="BQ91" s="664"/>
      <c r="BR91" s="664"/>
      <c r="BS91" s="664"/>
      <c r="BT91" s="664"/>
      <c r="BU91" s="664"/>
      <c r="BV91" s="664"/>
      <c r="BW91" s="664"/>
    </row>
    <row r="92" spans="1:75" s="836" customFormat="1" ht="20.100000000000001" customHeight="1">
      <c r="A92" s="747"/>
      <c r="B92" s="1113" t="s">
        <v>310</v>
      </c>
      <c r="C92" s="663">
        <f t="shared" si="48"/>
        <v>4250</v>
      </c>
      <c r="D92" s="691">
        <f>D90+D91</f>
        <v>1536</v>
      </c>
      <c r="E92" s="681">
        <f t="shared" si="43"/>
        <v>1825</v>
      </c>
      <c r="F92" s="696">
        <f>F91+F90</f>
        <v>1825</v>
      </c>
      <c r="G92" s="696">
        <f>G91+G90</f>
        <v>0</v>
      </c>
      <c r="H92" s="681">
        <f t="shared" si="44"/>
        <v>650</v>
      </c>
      <c r="I92" s="696">
        <f>I91+I90</f>
        <v>650</v>
      </c>
      <c r="J92" s="696">
        <f>J91+J90</f>
        <v>0</v>
      </c>
      <c r="K92" s="681">
        <f t="shared" si="45"/>
        <v>650</v>
      </c>
      <c r="L92" s="696">
        <f>L91+L90</f>
        <v>650</v>
      </c>
      <c r="M92" s="696">
        <f>M91+M90</f>
        <v>0</v>
      </c>
      <c r="N92" s="681">
        <f>O92+P92</f>
        <v>650</v>
      </c>
      <c r="O92" s="696">
        <f>O90+O91</f>
        <v>650</v>
      </c>
      <c r="P92" s="696">
        <f>P90+P91</f>
        <v>0</v>
      </c>
      <c r="Q92" s="681">
        <f t="shared" si="49"/>
        <v>1150</v>
      </c>
      <c r="R92" s="696">
        <f>R90+R91</f>
        <v>1150</v>
      </c>
      <c r="S92" s="696">
        <f>S90+S91</f>
        <v>0</v>
      </c>
      <c r="T92" s="696">
        <f t="shared" si="46"/>
        <v>1150</v>
      </c>
      <c r="U92" s="696">
        <f>U90+U91</f>
        <v>1150</v>
      </c>
      <c r="V92" s="696">
        <f>V90+V91</f>
        <v>0</v>
      </c>
      <c r="W92" s="679">
        <f t="shared" si="28"/>
        <v>4250</v>
      </c>
      <c r="X92" s="697">
        <f t="shared" si="47"/>
        <v>0</v>
      </c>
      <c r="Y92" s="697">
        <f>Y90+Y91</f>
        <v>0</v>
      </c>
      <c r="Z92" s="697">
        <f>Z90+Z91</f>
        <v>0</v>
      </c>
      <c r="AA92" s="1003"/>
      <c r="AC92" s="841" t="e">
        <f>#REF!+E92+H92+K92+N92</f>
        <v>#REF!</v>
      </c>
      <c r="AG92" s="1050"/>
      <c r="AH92" s="1050"/>
      <c r="AI92" s="1050"/>
      <c r="AJ92" s="1050"/>
      <c r="AK92" s="1050"/>
      <c r="AL92" s="1051"/>
      <c r="AM92" s="1037"/>
      <c r="AN92" s="1037"/>
      <c r="AO92" s="1037"/>
      <c r="AP92" s="1029"/>
      <c r="AQ92" s="1030"/>
      <c r="AR92" s="1021"/>
      <c r="AS92" s="1021"/>
      <c r="AT92" s="1021"/>
      <c r="AU92" s="1021"/>
      <c r="AV92" s="1021"/>
      <c r="AW92" s="1021"/>
      <c r="AX92" s="1021"/>
      <c r="AY92" s="1021"/>
      <c r="AZ92" s="1021"/>
      <c r="BA92" s="1021"/>
      <c r="BB92" s="1021"/>
      <c r="BC92" s="1021"/>
      <c r="BD92" s="1021"/>
      <c r="BE92" s="1021"/>
      <c r="BF92" s="1021"/>
      <c r="BG92" s="1021"/>
      <c r="BH92" s="1021"/>
      <c r="BI92" s="1021"/>
      <c r="BJ92" s="1021"/>
      <c r="BK92" s="1021"/>
      <c r="BL92" s="1021"/>
      <c r="BM92" s="1021"/>
      <c r="BN92" s="1021"/>
      <c r="BO92" s="1021"/>
      <c r="BP92" s="1021"/>
      <c r="BQ92" s="1021"/>
      <c r="BR92" s="1021"/>
      <c r="BS92" s="1021"/>
      <c r="BT92" s="1021"/>
      <c r="BU92" s="1021"/>
      <c r="BV92" s="1021"/>
      <c r="BW92" s="1021"/>
    </row>
    <row r="93" spans="1:75" s="844" customFormat="1" ht="20.100000000000001" customHeight="1">
      <c r="A93" s="1473" t="s">
        <v>350</v>
      </c>
      <c r="B93" s="1474"/>
      <c r="C93" s="663">
        <f t="shared" si="48"/>
        <v>66792</v>
      </c>
      <c r="D93" s="1439">
        <f>D61+D78+D88+D92</f>
        <v>5678</v>
      </c>
      <c r="E93" s="700">
        <f t="shared" si="43"/>
        <v>13957</v>
      </c>
      <c r="F93" s="700">
        <f>F88+F78+F92+F61</f>
        <v>13957</v>
      </c>
      <c r="G93" s="700">
        <f>G88+G78+G92+G61</f>
        <v>0</v>
      </c>
      <c r="H93" s="700">
        <f t="shared" si="44"/>
        <v>11490</v>
      </c>
      <c r="I93" s="700">
        <f>I88+I78+I92+I61</f>
        <v>11490</v>
      </c>
      <c r="J93" s="700">
        <f>J88+J78+J92+J61</f>
        <v>0</v>
      </c>
      <c r="K93" s="700">
        <f t="shared" si="45"/>
        <v>20097</v>
      </c>
      <c r="L93" s="700">
        <f>L88+L78+L92+L61</f>
        <v>20097</v>
      </c>
      <c r="M93" s="700">
        <f>M88+M78+M92+M61</f>
        <v>0</v>
      </c>
      <c r="N93" s="681">
        <f t="shared" ref="N93:N95" si="50">O93+P93</f>
        <v>14905</v>
      </c>
      <c r="O93" s="700">
        <f>O88+O78+O92+O61</f>
        <v>14905</v>
      </c>
      <c r="P93" s="700">
        <f>P88+P78+P92+P61</f>
        <v>0</v>
      </c>
      <c r="Q93" s="681">
        <f t="shared" si="49"/>
        <v>9850</v>
      </c>
      <c r="R93" s="700">
        <f>R88+R78+R92+R61</f>
        <v>9850</v>
      </c>
      <c r="S93" s="700">
        <f>S88+S78+S92+S61</f>
        <v>0</v>
      </c>
      <c r="T93" s="700">
        <f t="shared" si="46"/>
        <v>10450</v>
      </c>
      <c r="U93" s="700">
        <f>U88+U78+U92+U61</f>
        <v>10450</v>
      </c>
      <c r="V93" s="700">
        <f>V88+V78+V92+V61</f>
        <v>0</v>
      </c>
      <c r="W93" s="679">
        <f t="shared" si="28"/>
        <v>66792</v>
      </c>
      <c r="X93" s="697" t="e">
        <f t="shared" si="47"/>
        <v>#REF!</v>
      </c>
      <c r="Y93" s="697" t="e">
        <f>Y88+Y78+Y92+Y61</f>
        <v>#REF!</v>
      </c>
      <c r="Z93" s="697" t="e">
        <f>Z88+Z78+Z92+Z61</f>
        <v>#REF!</v>
      </c>
      <c r="AA93" s="748"/>
      <c r="AC93" s="841" t="e">
        <f>#REF!+E93+H93+K93+N93</f>
        <v>#REF!</v>
      </c>
      <c r="AG93" s="1052"/>
      <c r="AH93" s="1052"/>
      <c r="AI93" s="1052">
        <f>W93+W94</f>
        <v>165898</v>
      </c>
      <c r="AJ93" s="1052"/>
      <c r="AK93" s="1052"/>
      <c r="AL93" s="1053"/>
      <c r="AM93" s="1047"/>
      <c r="AN93" s="1047"/>
      <c r="AO93" s="1047"/>
      <c r="AP93" s="1048"/>
      <c r="AQ93" s="1033"/>
      <c r="AR93" s="1025"/>
      <c r="AS93" s="1025"/>
      <c r="AT93" s="1025"/>
      <c r="AU93" s="1025"/>
      <c r="AV93" s="1025"/>
      <c r="AW93" s="1025"/>
      <c r="AX93" s="1025"/>
      <c r="AY93" s="1025"/>
      <c r="AZ93" s="1025"/>
      <c r="BA93" s="1025"/>
      <c r="BB93" s="1025"/>
      <c r="BC93" s="1025"/>
      <c r="BD93" s="1025"/>
      <c r="BE93" s="1025"/>
      <c r="BF93" s="1025"/>
      <c r="BG93" s="1025"/>
      <c r="BH93" s="1025"/>
      <c r="BI93" s="1025"/>
      <c r="BJ93" s="1025"/>
      <c r="BK93" s="1025"/>
      <c r="BL93" s="1025"/>
      <c r="BM93" s="1025"/>
      <c r="BN93" s="1025"/>
      <c r="BO93" s="1025"/>
      <c r="BP93" s="1025"/>
      <c r="BQ93" s="1025"/>
      <c r="BR93" s="1025"/>
      <c r="BS93" s="1025"/>
      <c r="BT93" s="1025"/>
      <c r="BU93" s="1025"/>
      <c r="BV93" s="1025"/>
      <c r="BW93" s="1025"/>
    </row>
    <row r="94" spans="1:75" s="836" customFormat="1" ht="31.5" customHeight="1">
      <c r="A94" s="1473" t="s">
        <v>851</v>
      </c>
      <c r="B94" s="1474"/>
      <c r="C94" s="663">
        <f t="shared" si="48"/>
        <v>99106</v>
      </c>
      <c r="D94" s="691">
        <f>D18</f>
        <v>24528</v>
      </c>
      <c r="E94" s="700">
        <f t="shared" si="43"/>
        <v>21136</v>
      </c>
      <c r="F94" s="690">
        <f>F18</f>
        <v>15809</v>
      </c>
      <c r="G94" s="690">
        <f>G18</f>
        <v>5327</v>
      </c>
      <c r="H94" s="700">
        <f t="shared" si="44"/>
        <v>14191</v>
      </c>
      <c r="I94" s="690">
        <f>I18</f>
        <v>12270</v>
      </c>
      <c r="J94" s="690">
        <f>J18</f>
        <v>1921</v>
      </c>
      <c r="K94" s="700">
        <f t="shared" si="45"/>
        <v>20292</v>
      </c>
      <c r="L94" s="700">
        <f>L18</f>
        <v>3554</v>
      </c>
      <c r="M94" s="700">
        <f>M18</f>
        <v>16738</v>
      </c>
      <c r="N94" s="681">
        <f t="shared" si="50"/>
        <v>29384</v>
      </c>
      <c r="O94" s="700">
        <f>O18</f>
        <v>6533</v>
      </c>
      <c r="P94" s="700">
        <f>P18</f>
        <v>22851</v>
      </c>
      <c r="Q94" s="681">
        <f t="shared" si="49"/>
        <v>21739</v>
      </c>
      <c r="R94" s="700">
        <f>R18</f>
        <v>7548</v>
      </c>
      <c r="S94" s="700">
        <f>S18</f>
        <v>14191</v>
      </c>
      <c r="T94" s="700">
        <f t="shared" si="46"/>
        <v>13500</v>
      </c>
      <c r="U94" s="700">
        <f>U18</f>
        <v>13500</v>
      </c>
      <c r="V94" s="700">
        <f>V18</f>
        <v>0</v>
      </c>
      <c r="W94" s="679">
        <f t="shared" si="28"/>
        <v>99106</v>
      </c>
      <c r="X94" s="697">
        <f t="shared" si="47"/>
        <v>6064</v>
      </c>
      <c r="Y94" s="681">
        <f>Y18</f>
        <v>6064</v>
      </c>
      <c r="Z94" s="681">
        <f>Z18</f>
        <v>0</v>
      </c>
      <c r="AA94" s="1003"/>
      <c r="AC94" s="841" t="e">
        <f>#REF!+E94+H94+K94+N94</f>
        <v>#REF!</v>
      </c>
      <c r="AG94" s="1050"/>
      <c r="AH94" s="1050"/>
      <c r="AI94" s="1050"/>
      <c r="AJ94" s="1050"/>
      <c r="AK94" s="1050"/>
      <c r="AL94" s="1051"/>
      <c r="AM94" s="1037"/>
      <c r="AN94" s="1037"/>
      <c r="AO94" s="1037"/>
      <c r="AP94" s="1029"/>
      <c r="AQ94" s="1030"/>
      <c r="AR94" s="1021"/>
      <c r="AS94" s="1021"/>
      <c r="AT94" s="1021"/>
      <c r="AU94" s="1021"/>
      <c r="AV94" s="1021"/>
      <c r="AW94" s="1021"/>
      <c r="AX94" s="1021"/>
      <c r="AY94" s="1021"/>
      <c r="AZ94" s="1021"/>
      <c r="BA94" s="1021"/>
      <c r="BB94" s="1021"/>
      <c r="BC94" s="1021"/>
      <c r="BD94" s="1021"/>
      <c r="BE94" s="1021"/>
      <c r="BF94" s="1021"/>
      <c r="BG94" s="1021"/>
      <c r="BH94" s="1021"/>
      <c r="BI94" s="1021"/>
      <c r="BJ94" s="1021"/>
      <c r="BK94" s="1021"/>
      <c r="BL94" s="1021"/>
      <c r="BM94" s="1021"/>
      <c r="BN94" s="1021"/>
      <c r="BO94" s="1021"/>
      <c r="BP94" s="1021"/>
      <c r="BQ94" s="1021"/>
      <c r="BR94" s="1021"/>
      <c r="BS94" s="1021"/>
      <c r="BT94" s="1021"/>
      <c r="BU94" s="1021"/>
      <c r="BV94" s="1021"/>
      <c r="BW94" s="1021"/>
    </row>
    <row r="95" spans="1:75" s="836" customFormat="1">
      <c r="A95" s="701"/>
      <c r="B95" s="1114" t="s">
        <v>169</v>
      </c>
      <c r="C95" s="663">
        <f>H95+K95+N95+Q95+T95</f>
        <v>165898</v>
      </c>
      <c r="D95" s="691">
        <f>D92+D88+D78+D61+D18</f>
        <v>30206</v>
      </c>
      <c r="E95" s="690">
        <f t="shared" si="43"/>
        <v>35093</v>
      </c>
      <c r="F95" s="690">
        <f>F92+F88+F78+F61+F18</f>
        <v>29766</v>
      </c>
      <c r="G95" s="690">
        <f>G92+G88+G78+G61+G18</f>
        <v>5327</v>
      </c>
      <c r="H95" s="690">
        <f t="shared" si="44"/>
        <v>25681</v>
      </c>
      <c r="I95" s="690">
        <f>I92+I88+I78+I61+I18</f>
        <v>23760</v>
      </c>
      <c r="J95" s="690">
        <f>J92+J88+J78+J61+J18</f>
        <v>1921</v>
      </c>
      <c r="K95" s="690">
        <f t="shared" si="45"/>
        <v>40389</v>
      </c>
      <c r="L95" s="690">
        <f>L92+L88+L78+L61+L18</f>
        <v>23651</v>
      </c>
      <c r="M95" s="690">
        <f>M92+M88+M78+M61+M18</f>
        <v>16738</v>
      </c>
      <c r="N95" s="681">
        <f t="shared" si="50"/>
        <v>44289</v>
      </c>
      <c r="O95" s="690">
        <f>O92+O88+O78+O61+O18</f>
        <v>21438</v>
      </c>
      <c r="P95" s="690">
        <f>P92+P88+P78+P61+P18</f>
        <v>22851</v>
      </c>
      <c r="Q95" s="681">
        <f t="shared" si="49"/>
        <v>31589</v>
      </c>
      <c r="R95" s="690">
        <f>R92+R88+R78+R61+R18</f>
        <v>17398</v>
      </c>
      <c r="S95" s="690">
        <f>S92+S88+S78+S61+S18</f>
        <v>14191</v>
      </c>
      <c r="T95" s="690">
        <f t="shared" si="46"/>
        <v>23950</v>
      </c>
      <c r="U95" s="690">
        <f>U92+U88+U78+U61+U18</f>
        <v>23950</v>
      </c>
      <c r="V95" s="690">
        <f>V92+V88+V78+V61+V18</f>
        <v>0</v>
      </c>
      <c r="W95" s="679">
        <f>C95</f>
        <v>165898</v>
      </c>
      <c r="X95" s="697" t="e">
        <f t="shared" si="47"/>
        <v>#REF!</v>
      </c>
      <c r="Y95" s="681" t="e">
        <f>Y92+Y88+Y78+Y61+Y18</f>
        <v>#REF!</v>
      </c>
      <c r="Z95" s="681" t="e">
        <f>Z92+Z88+Z78+Z61+Z18</f>
        <v>#REF!</v>
      </c>
      <c r="AA95" s="1003"/>
      <c r="AC95" s="841" t="e">
        <f>#REF!+E95+H95+K95+N95</f>
        <v>#REF!</v>
      </c>
      <c r="AG95" s="1050"/>
      <c r="AH95" s="1050"/>
      <c r="AI95" s="1050"/>
      <c r="AJ95" s="1050"/>
      <c r="AK95" s="1050"/>
      <c r="AL95" s="1051"/>
      <c r="AM95" s="1037"/>
      <c r="AN95" s="1037"/>
      <c r="AO95" s="1037"/>
      <c r="AP95" s="1029"/>
      <c r="AQ95" s="1030"/>
      <c r="AR95" s="1021"/>
      <c r="AS95" s="1021"/>
      <c r="AT95" s="1021"/>
      <c r="AU95" s="1021"/>
      <c r="AV95" s="1021"/>
      <c r="AW95" s="1021"/>
      <c r="AX95" s="1021"/>
      <c r="AY95" s="1021"/>
      <c r="AZ95" s="1021"/>
      <c r="BA95" s="1021"/>
      <c r="BB95" s="1021"/>
      <c r="BC95" s="1021"/>
      <c r="BD95" s="1021"/>
      <c r="BE95" s="1021"/>
      <c r="BF95" s="1021"/>
      <c r="BG95" s="1021"/>
      <c r="BH95" s="1021"/>
      <c r="BI95" s="1021"/>
      <c r="BJ95" s="1021"/>
      <c r="BK95" s="1021"/>
      <c r="BL95" s="1021"/>
      <c r="BM95" s="1021"/>
      <c r="BN95" s="1021"/>
      <c r="BO95" s="1021"/>
      <c r="BP95" s="1021"/>
      <c r="BQ95" s="1021"/>
      <c r="BR95" s="1021"/>
      <c r="BS95" s="1021"/>
      <c r="BT95" s="1021"/>
      <c r="BU95" s="1021"/>
      <c r="BV95" s="1021"/>
      <c r="BW95" s="1021"/>
    </row>
    <row r="96" spans="1:75">
      <c r="A96" s="865"/>
      <c r="B96" s="866"/>
      <c r="C96" s="867"/>
      <c r="X96" s="868"/>
      <c r="Y96" s="868"/>
      <c r="Z96" s="868"/>
      <c r="AA96" s="1001"/>
      <c r="AC96" s="841" t="e">
        <f>#REF!+E96+H96+K96+N96</f>
        <v>#REF!</v>
      </c>
      <c r="AH96" s="1050">
        <v>71965</v>
      </c>
      <c r="AI96" s="1050">
        <f>'T1 wodociag 2022-2026'!W90</f>
        <v>72205</v>
      </c>
    </row>
    <row r="97" spans="2:36">
      <c r="C97" s="910" t="e">
        <f>#REF!+E95+H95+K95+N95+Q95</f>
        <v>#REF!</v>
      </c>
      <c r="F97" s="1060"/>
      <c r="X97" s="868"/>
      <c r="Y97" s="868"/>
      <c r="Z97" s="868"/>
      <c r="AA97" s="1001"/>
      <c r="AH97" s="1050">
        <v>174473</v>
      </c>
      <c r="AI97" s="1050">
        <f>W95</f>
        <v>165898</v>
      </c>
    </row>
    <row r="98" spans="2:36" hidden="1">
      <c r="B98" s="1115" t="s">
        <v>670</v>
      </c>
      <c r="C98" s="870"/>
      <c r="D98" s="872"/>
      <c r="E98" s="1490">
        <v>2021</v>
      </c>
      <c r="F98" s="1490"/>
      <c r="G98" s="871"/>
      <c r="H98" s="1490">
        <v>2022</v>
      </c>
      <c r="I98" s="1490"/>
      <c r="J98" s="871"/>
      <c r="K98" s="1490">
        <v>2023</v>
      </c>
      <c r="L98" s="1490"/>
      <c r="O98" s="1495">
        <v>2024</v>
      </c>
      <c r="P98" s="1495"/>
      <c r="R98" s="1496">
        <v>2025</v>
      </c>
      <c r="S98" s="1496"/>
      <c r="T98" s="1119"/>
      <c r="U98" s="1119"/>
      <c r="V98" s="1119"/>
      <c r="X98" s="868"/>
      <c r="Y98" s="868"/>
      <c r="Z98" s="868"/>
      <c r="AA98" s="1001"/>
      <c r="AH98" s="1050">
        <v>18385</v>
      </c>
      <c r="AI98" s="1050">
        <f>'T3 WPI 2022-2026'!Z34</f>
        <v>18210</v>
      </c>
    </row>
    <row r="99" spans="2:36" hidden="1">
      <c r="C99" s="870"/>
      <c r="E99" s="1491">
        <f>F20+F22+F24+F26+F92</f>
        <v>5865</v>
      </c>
      <c r="F99" s="1492"/>
      <c r="G99" s="969"/>
      <c r="H99" s="1491">
        <f>I20+I22+I24+I26+I92</f>
        <v>8560</v>
      </c>
      <c r="I99" s="1492"/>
      <c r="J99" s="969"/>
      <c r="K99" s="1491">
        <f>L20+L22+L24+L26+L92</f>
        <v>7370</v>
      </c>
      <c r="L99" s="1492"/>
      <c r="M99" s="970"/>
      <c r="N99" s="969"/>
      <c r="O99" s="1491">
        <f>N20+N22+N24+N26+N92</f>
        <v>4015</v>
      </c>
      <c r="P99" s="1492"/>
      <c r="Q99" s="969"/>
      <c r="R99" s="1491">
        <f>Q20+Q22+Q24+Q26+Q90+Q91</f>
        <v>7850</v>
      </c>
      <c r="S99" s="1492"/>
      <c r="T99" s="1118"/>
      <c r="U99" s="1118"/>
      <c r="V99" s="1118"/>
      <c r="W99" s="969"/>
      <c r="X99" s="969"/>
      <c r="Y99" s="971"/>
      <c r="Z99" s="971"/>
      <c r="AA99" s="1002"/>
      <c r="AB99" s="971"/>
      <c r="AC99" s="971"/>
      <c r="AD99" s="971"/>
      <c r="AE99" s="971"/>
      <c r="AF99" s="971"/>
      <c r="AH99" s="1050">
        <f>SUM(AH96:AH98)</f>
        <v>264823</v>
      </c>
      <c r="AI99" s="1050">
        <f>SUM(AI96:AI98)</f>
        <v>256313</v>
      </c>
      <c r="AJ99" s="1050">
        <f>AI99-AH99</f>
        <v>-8510</v>
      </c>
    </row>
    <row r="100" spans="2:36" hidden="1">
      <c r="E100" s="972">
        <f>E99</f>
        <v>5865</v>
      </c>
      <c r="F100" s="971"/>
      <c r="G100" s="971"/>
      <c r="H100" s="972">
        <f>H99</f>
        <v>8560</v>
      </c>
      <c r="I100" s="971"/>
      <c r="J100" s="971"/>
      <c r="K100" s="972">
        <f>K99</f>
        <v>7370</v>
      </c>
      <c r="L100" s="971"/>
      <c r="M100" s="972"/>
      <c r="N100" s="971"/>
      <c r="O100" s="972">
        <f>O99</f>
        <v>4015</v>
      </c>
      <c r="P100" s="971"/>
      <c r="Q100" s="971"/>
      <c r="R100" s="972">
        <f>R99</f>
        <v>7850</v>
      </c>
      <c r="S100" s="971"/>
      <c r="T100" s="971"/>
      <c r="U100" s="971"/>
      <c r="V100" s="971"/>
      <c r="W100" s="971"/>
      <c r="X100" s="971"/>
      <c r="Y100" s="971"/>
      <c r="Z100" s="971"/>
      <c r="AA100" s="1002"/>
      <c r="AB100" s="971"/>
      <c r="AC100" s="971"/>
      <c r="AD100" s="971"/>
      <c r="AE100" s="971"/>
      <c r="AF100" s="971"/>
    </row>
    <row r="101" spans="2:36" hidden="1">
      <c r="E101" s="971"/>
      <c r="F101" s="971"/>
      <c r="G101" s="971"/>
      <c r="H101" s="971"/>
      <c r="I101" s="971"/>
      <c r="J101" s="971"/>
      <c r="K101" s="971"/>
      <c r="L101" s="971"/>
      <c r="M101" s="971"/>
      <c r="N101" s="969"/>
      <c r="O101" s="969"/>
      <c r="P101" s="969"/>
      <c r="Q101" s="969"/>
      <c r="R101" s="969"/>
      <c r="S101" s="969"/>
      <c r="T101" s="969"/>
      <c r="U101" s="969"/>
      <c r="V101" s="969"/>
      <c r="W101" s="969"/>
      <c r="X101" s="971"/>
      <c r="Y101" s="971"/>
      <c r="Z101" s="971"/>
      <c r="AA101" s="991"/>
      <c r="AB101" s="971"/>
      <c r="AC101" s="971"/>
      <c r="AD101" s="971"/>
      <c r="AE101" s="971"/>
      <c r="AF101" s="971"/>
    </row>
    <row r="102" spans="2:36" hidden="1">
      <c r="E102" s="971"/>
      <c r="F102" s="971"/>
      <c r="G102" s="971"/>
      <c r="H102" s="971"/>
      <c r="I102" s="971"/>
      <c r="J102" s="971"/>
      <c r="K102" s="971"/>
      <c r="L102" s="971"/>
      <c r="M102" s="1493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971"/>
      <c r="Z102" s="971"/>
      <c r="AA102" s="991"/>
      <c r="AB102" s="971"/>
      <c r="AC102" s="971"/>
      <c r="AD102" s="971"/>
      <c r="AE102" s="971"/>
      <c r="AF102" s="971"/>
    </row>
    <row r="103" spans="2:36" hidden="1">
      <c r="E103" s="842">
        <f>G95+J95+M95+P95+S95</f>
        <v>61028</v>
      </c>
      <c r="H103" s="1512" t="s">
        <v>818</v>
      </c>
      <c r="I103" s="1512"/>
      <c r="J103" s="1512"/>
      <c r="K103" s="1512"/>
      <c r="L103" s="1513">
        <f>G95+J95+M95+P95+S95+V95</f>
        <v>61028</v>
      </c>
      <c r="M103" s="1512"/>
    </row>
    <row r="104" spans="2:36" hidden="1">
      <c r="B104" s="982"/>
      <c r="H104" s="1514" t="s">
        <v>819</v>
      </c>
      <c r="I104" s="1514"/>
      <c r="J104" s="1514"/>
      <c r="K104" s="1514"/>
      <c r="L104" s="1515">
        <f>J95+M95+P95+S95+V95</f>
        <v>55701</v>
      </c>
      <c r="M104" s="1514"/>
      <c r="Q104" s="1495">
        <f>E95+H95+K95+N95+Q95+T95</f>
        <v>200991</v>
      </c>
      <c r="R104" s="1496"/>
    </row>
    <row r="109" spans="2:36">
      <c r="B109" s="982"/>
      <c r="F109" s="842"/>
      <c r="G109" s="842"/>
      <c r="H109" s="842"/>
      <c r="I109" s="842"/>
      <c r="J109" s="842"/>
      <c r="K109" s="842"/>
    </row>
    <row r="117" spans="2:2" hidden="1">
      <c r="B117" s="982">
        <f>C88+'T1 wodociag 2022-2026'!C85</f>
        <v>67210</v>
      </c>
    </row>
    <row r="118" spans="2:2" hidden="1">
      <c r="B118" s="982">
        <f>C78+'T1 wodociag 2022-2026'!C62</f>
        <v>7757</v>
      </c>
    </row>
  </sheetData>
  <sheetProtection password="A2A1" sheet="1" objects="1" scenarios="1"/>
  <mergeCells count="44">
    <mergeCell ref="Q104:R104"/>
    <mergeCell ref="H103:K103"/>
    <mergeCell ref="L103:M103"/>
    <mergeCell ref="H104:K104"/>
    <mergeCell ref="L104:M104"/>
    <mergeCell ref="AA3:AB3"/>
    <mergeCell ref="A1:C1"/>
    <mergeCell ref="B4:B6"/>
    <mergeCell ref="A3:C3"/>
    <mergeCell ref="A4:A6"/>
    <mergeCell ref="E5:G5"/>
    <mergeCell ref="H5:J5"/>
    <mergeCell ref="W5:W6"/>
    <mergeCell ref="X5:Z5"/>
    <mergeCell ref="C4:W4"/>
    <mergeCell ref="N5:P5"/>
    <mergeCell ref="K5:M5"/>
    <mergeCell ref="Q5:S5"/>
    <mergeCell ref="T5:V5"/>
    <mergeCell ref="A2:W2"/>
    <mergeCell ref="D5:D6"/>
    <mergeCell ref="A94:B94"/>
    <mergeCell ref="K98:L98"/>
    <mergeCell ref="K99:L99"/>
    <mergeCell ref="M102:X102"/>
    <mergeCell ref="O99:P99"/>
    <mergeCell ref="O98:P98"/>
    <mergeCell ref="R98:S98"/>
    <mergeCell ref="R99:S99"/>
    <mergeCell ref="E99:F99"/>
    <mergeCell ref="H99:I99"/>
    <mergeCell ref="E98:F98"/>
    <mergeCell ref="H98:I98"/>
    <mergeCell ref="A93:B93"/>
    <mergeCell ref="A88:B88"/>
    <mergeCell ref="A78:B78"/>
    <mergeCell ref="C5:C6"/>
    <mergeCell ref="A79:M79"/>
    <mergeCell ref="A18:B18"/>
    <mergeCell ref="A62:M62"/>
    <mergeCell ref="A61:B61"/>
    <mergeCell ref="A19:M19"/>
    <mergeCell ref="A9:O9"/>
    <mergeCell ref="A89:W89"/>
  </mergeCells>
  <phoneticPr fontId="6" type="noConversion"/>
  <printOptions horizontalCentered="1"/>
  <pageMargins left="0.39370078740157483" right="0.39370078740157483" top="0.78740157480314965" bottom="0.39370078740157483" header="0.39370078740157483" footer="0.39370078740157483"/>
  <pageSetup paperSize="9" scale="70" firstPageNumber="11" fitToHeight="2" orientation="landscape" useFirstPageNumber="1" copies="2" r:id="rId1"/>
  <headerFooter alignWithMargins="0"/>
  <rowBreaks count="1" manualBreakCount="1">
    <brk id="78" max="2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H30" sqref="H30"/>
    </sheetView>
  </sheetViews>
  <sheetFormatPr defaultRowHeight="12.75"/>
  <sheetData>
    <row r="1" spans="1:7" ht="46.5" customHeight="1">
      <c r="A1" s="1682" t="s">
        <v>204</v>
      </c>
      <c r="B1" s="272"/>
      <c r="C1" s="272"/>
      <c r="D1" s="272"/>
      <c r="E1" s="272"/>
      <c r="F1" s="272"/>
      <c r="G1" s="274" t="s">
        <v>205</v>
      </c>
    </row>
    <row r="2" spans="1:7" ht="16.5" thickBot="1">
      <c r="A2" s="1683"/>
      <c r="B2" s="273" t="s">
        <v>23</v>
      </c>
      <c r="C2" s="273">
        <v>2015</v>
      </c>
      <c r="D2" s="273">
        <v>2016</v>
      </c>
      <c r="E2" s="273">
        <v>2017</v>
      </c>
      <c r="F2" s="273">
        <v>2018</v>
      </c>
      <c r="G2" s="275" t="s">
        <v>206</v>
      </c>
    </row>
    <row r="3" spans="1:7" ht="62.25" customHeight="1">
      <c r="A3" s="1684" t="s">
        <v>207</v>
      </c>
      <c r="B3" s="276"/>
      <c r="C3" s="277"/>
      <c r="D3" s="277"/>
      <c r="E3" s="277"/>
      <c r="F3" s="277"/>
      <c r="G3" s="278"/>
    </row>
    <row r="4" spans="1:7" ht="16.5" thickBot="1">
      <c r="A4" s="1685"/>
      <c r="B4" s="281">
        <v>45318</v>
      </c>
      <c r="C4" s="282">
        <v>7139</v>
      </c>
      <c r="D4" s="282">
        <v>5793</v>
      </c>
      <c r="E4" s="282">
        <v>3976</v>
      </c>
      <c r="F4" s="282">
        <v>2811</v>
      </c>
      <c r="G4" s="279">
        <v>25599</v>
      </c>
    </row>
    <row r="5" spans="1:7" ht="62.25" customHeight="1">
      <c r="A5" s="1684" t="s">
        <v>208</v>
      </c>
      <c r="B5" s="276"/>
      <c r="C5" s="277"/>
      <c r="D5" s="277"/>
      <c r="E5" s="277"/>
      <c r="F5" s="277"/>
      <c r="G5" s="278"/>
    </row>
    <row r="6" spans="1:7" ht="16.5" thickBot="1">
      <c r="A6" s="1685"/>
      <c r="B6" s="281">
        <v>64616</v>
      </c>
      <c r="C6" s="282">
        <v>6970</v>
      </c>
      <c r="D6" s="282">
        <v>19430</v>
      </c>
      <c r="E6" s="282">
        <v>18778</v>
      </c>
      <c r="F6" s="282">
        <v>11287</v>
      </c>
      <c r="G6" s="279">
        <v>8151</v>
      </c>
    </row>
    <row r="7" spans="1:7" ht="16.5" thickBot="1">
      <c r="A7" s="280" t="s">
        <v>15</v>
      </c>
      <c r="B7" s="281">
        <v>109934</v>
      </c>
      <c r="C7" s="281">
        <v>14109</v>
      </c>
      <c r="D7" s="281">
        <v>25223</v>
      </c>
      <c r="E7" s="281">
        <v>22754</v>
      </c>
      <c r="F7" s="281">
        <v>14098</v>
      </c>
      <c r="G7" s="279">
        <v>33750</v>
      </c>
    </row>
    <row r="9" spans="1:7">
      <c r="B9">
        <f t="shared" ref="B9:G9" si="0">B4+B6</f>
        <v>109934</v>
      </c>
      <c r="C9">
        <f t="shared" si="0"/>
        <v>14109</v>
      </c>
      <c r="D9">
        <f t="shared" si="0"/>
        <v>25223</v>
      </c>
      <c r="E9">
        <f t="shared" si="0"/>
        <v>22754</v>
      </c>
      <c r="F9">
        <f t="shared" si="0"/>
        <v>14098</v>
      </c>
      <c r="G9">
        <f t="shared" si="0"/>
        <v>33750</v>
      </c>
    </row>
  </sheetData>
  <mergeCells count="3">
    <mergeCell ref="A1:A2"/>
    <mergeCell ref="A3:A4"/>
    <mergeCell ref="A5:A6"/>
  </mergeCells>
  <phoneticPr fontId="6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57"/>
  <sheetViews>
    <sheetView topLeftCell="A19" zoomScaleNormal="100" workbookViewId="0">
      <selection activeCell="S18" sqref="S18"/>
    </sheetView>
  </sheetViews>
  <sheetFormatPr defaultRowHeight="12.75" outlineLevelRow="2" outlineLevelCol="1"/>
  <cols>
    <col min="1" max="1" width="2.140625" customWidth="1"/>
    <col min="2" max="2" width="17.140625" hidden="1" customWidth="1" outlineLevel="1"/>
    <col min="3" max="4" width="7.7109375" hidden="1" customWidth="1" outlineLevel="1"/>
    <col min="5" max="5" width="17.28515625" customWidth="1" collapsed="1"/>
    <col min="6" max="6" width="7.7109375" hidden="1" customWidth="1" outlineLevel="1"/>
    <col min="7" max="7" width="10" customWidth="1" collapsed="1"/>
    <col min="8" max="8" width="11.42578125" customWidth="1"/>
    <col min="9" max="12" width="7.7109375" customWidth="1"/>
    <col min="17" max="17" width="11.7109375" bestFit="1" customWidth="1"/>
    <col min="18" max="18" width="9.28515625" bestFit="1" customWidth="1"/>
  </cols>
  <sheetData>
    <row r="2" spans="5:17">
      <c r="E2" s="498" t="s">
        <v>527</v>
      </c>
    </row>
    <row r="3" spans="5:17" ht="15.75">
      <c r="E3" s="343"/>
      <c r="K3" s="389"/>
    </row>
    <row r="4" spans="5:17" ht="38.25">
      <c r="E4" s="392" t="s">
        <v>855</v>
      </c>
      <c r="F4" s="392" t="s">
        <v>23</v>
      </c>
      <c r="G4" s="1256" t="s">
        <v>957</v>
      </c>
      <c r="H4" s="1256" t="s">
        <v>959</v>
      </c>
      <c r="I4" s="392">
        <v>2022</v>
      </c>
      <c r="J4" s="392">
        <v>2023</v>
      </c>
      <c r="K4" s="392">
        <v>2024</v>
      </c>
      <c r="L4" s="392">
        <v>2025</v>
      </c>
      <c r="M4" s="392">
        <v>2026</v>
      </c>
    </row>
    <row r="5" spans="5:17" ht="25.5">
      <c r="E5" s="387" t="s">
        <v>207</v>
      </c>
      <c r="F5" s="385">
        <f>I5+J5+K5+L5+M5</f>
        <v>72205</v>
      </c>
      <c r="G5" s="385"/>
      <c r="H5" s="386"/>
      <c r="I5" s="386">
        <f>'T1 wodociag 2022-2026'!H90</f>
        <v>18865</v>
      </c>
      <c r="J5" s="386">
        <f>'T1 wodociag 2022-2026'!K90</f>
        <v>19005</v>
      </c>
      <c r="K5" s="386">
        <f>'T1 wodociag 2022-2026'!N90</f>
        <v>16920</v>
      </c>
      <c r="L5" s="386">
        <f>'T1 wodociag 2022-2026'!Q90</f>
        <v>8130</v>
      </c>
      <c r="M5" s="386">
        <f>'T1 wodociag 2022-2026'!T90</f>
        <v>9285</v>
      </c>
      <c r="O5" t="s">
        <v>223</v>
      </c>
      <c r="P5" s="505">
        <f>'T1 wodociag 2022-2026'!W90</f>
        <v>72205</v>
      </c>
      <c r="Q5" t="b">
        <f>F5=P5</f>
        <v>1</v>
      </c>
    </row>
    <row r="6" spans="5:17" ht="25.5">
      <c r="E6" s="387" t="s">
        <v>110</v>
      </c>
      <c r="F6" s="385">
        <f t="shared" ref="F6:F7" si="0">I6+J6+K6+L6+M6</f>
        <v>165898</v>
      </c>
      <c r="G6" s="385"/>
      <c r="H6" s="386"/>
      <c r="I6" s="386">
        <f>'T2 kanalizacja 2022-2026'!H95</f>
        <v>25681</v>
      </c>
      <c r="J6" s="386">
        <f>'T2 kanalizacja 2022-2026'!K95</f>
        <v>40389</v>
      </c>
      <c r="K6" s="386">
        <f>'T2 kanalizacja 2022-2026'!N95</f>
        <v>44289</v>
      </c>
      <c r="L6" s="386">
        <f>'T2 kanalizacja 2022-2026'!Q95</f>
        <v>31589</v>
      </c>
      <c r="M6" s="386">
        <f>'T2 kanalizacja 2022-2026'!T95</f>
        <v>23950</v>
      </c>
      <c r="O6" t="s">
        <v>224</v>
      </c>
      <c r="P6" s="505">
        <f>'T2 kanalizacja 2022-2026'!W95</f>
        <v>165898</v>
      </c>
      <c r="Q6" t="b">
        <f>F6=P6</f>
        <v>1</v>
      </c>
    </row>
    <row r="7" spans="5:17" ht="38.25">
      <c r="E7" s="387" t="s">
        <v>111</v>
      </c>
      <c r="F7" s="385">
        <f t="shared" si="0"/>
        <v>18210</v>
      </c>
      <c r="G7" s="385"/>
      <c r="H7" s="386"/>
      <c r="I7" s="386">
        <f>'T3 WPI 2022-2026'!K34</f>
        <v>7410</v>
      </c>
      <c r="J7" s="386">
        <f>'T3 WPI 2022-2026'!N34</f>
        <v>3600</v>
      </c>
      <c r="K7" s="386">
        <f>'T3 WPI 2022-2026'!Q34</f>
        <v>2890</v>
      </c>
      <c r="L7" s="386">
        <f>'T3 WPI 2022-2026'!T34</f>
        <v>2200</v>
      </c>
      <c r="M7" s="386">
        <f>'T3 WPI 2022-2026'!W34</f>
        <v>2110</v>
      </c>
      <c r="O7" t="s">
        <v>356</v>
      </c>
      <c r="P7" s="505">
        <f>'T3 WPI 2022-2026'!Z34</f>
        <v>18210</v>
      </c>
      <c r="Q7" t="b">
        <f>F7=P7</f>
        <v>1</v>
      </c>
    </row>
    <row r="8" spans="5:17" ht="20.100000000000001" customHeight="1">
      <c r="E8" s="392" t="s">
        <v>15</v>
      </c>
      <c r="F8" s="385">
        <f>I8+J8+K8+L8+M8</f>
        <v>256313</v>
      </c>
      <c r="G8" s="385"/>
      <c r="H8" s="385"/>
      <c r="I8" s="385">
        <f t="shared" ref="I8:K8" si="1">SUM(I5:I7)</f>
        <v>51956</v>
      </c>
      <c r="J8" s="385">
        <f t="shared" si="1"/>
        <v>62994</v>
      </c>
      <c r="K8" s="385">
        <f t="shared" si="1"/>
        <v>64099</v>
      </c>
      <c r="L8" s="385">
        <f>SUM(L5:L7)</f>
        <v>41919</v>
      </c>
      <c r="M8" s="385">
        <f>SUM(M5:M7)</f>
        <v>35345</v>
      </c>
      <c r="P8" s="505">
        <f>SUM(P5:P7)</f>
        <v>256313</v>
      </c>
      <c r="Q8" t="b">
        <f>F8=P8</f>
        <v>1</v>
      </c>
    </row>
    <row r="9" spans="5:17">
      <c r="E9" s="388"/>
      <c r="F9" s="388"/>
      <c r="G9" s="388"/>
      <c r="H9" s="388"/>
      <c r="I9" s="388"/>
      <c r="J9" s="388"/>
      <c r="K9" s="388"/>
    </row>
    <row r="10" spans="5:17" ht="18" customHeight="1">
      <c r="E10" s="388"/>
      <c r="F10" s="388"/>
      <c r="G10" s="388"/>
      <c r="H10" s="388"/>
      <c r="I10" s="388"/>
      <c r="J10" s="388"/>
      <c r="K10" s="389"/>
    </row>
    <row r="11" spans="5:17" ht="43.5" customHeight="1">
      <c r="E11" s="1686" t="s">
        <v>856</v>
      </c>
      <c r="F11" s="1686"/>
      <c r="G11" s="1256" t="s">
        <v>958</v>
      </c>
      <c r="H11" s="1256" t="s">
        <v>960</v>
      </c>
      <c r="I11" s="392">
        <v>2022</v>
      </c>
      <c r="J11" s="958">
        <v>2023</v>
      </c>
      <c r="K11" s="392">
        <v>2024</v>
      </c>
      <c r="L11" s="958">
        <v>2025</v>
      </c>
      <c r="M11" s="392">
        <v>2026</v>
      </c>
      <c r="N11" s="505"/>
    </row>
    <row r="12" spans="5:17" ht="24.95" customHeight="1">
      <c r="E12" s="391" t="s">
        <v>23</v>
      </c>
      <c r="F12" s="386">
        <f>I12+J12+K12+L12+M12</f>
        <v>256313</v>
      </c>
      <c r="G12" s="386"/>
      <c r="H12" s="386">
        <f>SUM(H13:H15)</f>
        <v>0</v>
      </c>
      <c r="I12" s="386">
        <f t="shared" ref="I12:J12" si="2">SUM(I13:I15)</f>
        <v>51956</v>
      </c>
      <c r="J12" s="386">
        <f t="shared" si="2"/>
        <v>62994</v>
      </c>
      <c r="K12" s="386">
        <f>SUM(K13:K15)</f>
        <v>64099</v>
      </c>
      <c r="L12" s="386">
        <f>SUM(L13:L15)</f>
        <v>41919</v>
      </c>
      <c r="M12" s="386">
        <f>SUM(M13:M15)</f>
        <v>35345</v>
      </c>
    </row>
    <row r="13" spans="5:17" ht="24.95" customHeight="1">
      <c r="E13" s="390" t="s">
        <v>477</v>
      </c>
      <c r="F13" s="386">
        <f>I13+J13+K13+L13+M13</f>
        <v>126696</v>
      </c>
      <c r="G13" s="386"/>
      <c r="H13" s="386"/>
      <c r="I13" s="386">
        <f t="shared" ref="I13:L13" si="3">I8-I14-I15</f>
        <v>33332</v>
      </c>
      <c r="J13" s="386">
        <f t="shared" si="3"/>
        <v>26733</v>
      </c>
      <c r="K13" s="386">
        <f t="shared" si="3"/>
        <v>23558</v>
      </c>
      <c r="L13" s="386">
        <f t="shared" si="3"/>
        <v>20528</v>
      </c>
      <c r="M13" s="503">
        <f>M8-M14-M15</f>
        <v>22545</v>
      </c>
    </row>
    <row r="14" spans="5:17" ht="24.95" customHeight="1">
      <c r="E14" s="390" t="s">
        <v>478</v>
      </c>
      <c r="F14" s="386">
        <f t="shared" ref="F14:F15" si="4">I14+J14+K14+L14+M14</f>
        <v>56563</v>
      </c>
      <c r="G14" s="386"/>
      <c r="H14" s="386"/>
      <c r="I14" s="386">
        <f>pożyczki.dotacje!H37</f>
        <v>11363</v>
      </c>
      <c r="J14" s="386">
        <f>pożyczki.dotacje!I37</f>
        <v>12100</v>
      </c>
      <c r="K14" s="386">
        <f>pożyczki.dotacje!J37</f>
        <v>13100</v>
      </c>
      <c r="L14" s="386">
        <f>pożyczki.dotacje!K37</f>
        <v>7200</v>
      </c>
      <c r="M14" s="503">
        <f>pożyczki.dotacje!L37</f>
        <v>12800</v>
      </c>
    </row>
    <row r="15" spans="5:17" ht="24.95" customHeight="1">
      <c r="E15" s="390" t="s">
        <v>479</v>
      </c>
      <c r="F15" s="386">
        <f t="shared" si="4"/>
        <v>73054</v>
      </c>
      <c r="G15" s="386"/>
      <c r="H15" s="386"/>
      <c r="I15" s="386">
        <f>'T1 wodociag 2022-2026'!J90+'T2 kanalizacja 2022-2026'!J95+'T3 WPI 2022-2026'!M34</f>
        <v>7261</v>
      </c>
      <c r="J15" s="386">
        <f>'T1 wodociag 2022-2026'!M90+'T2 kanalizacja 2022-2026'!M95+'T3 WPI 2022-2026'!P34</f>
        <v>24161</v>
      </c>
      <c r="K15" s="386">
        <f>'T1 wodociag 2022-2026'!P90+'T2 kanalizacja 2022-2026'!P95+'T3 WPI 2022-2026'!S34</f>
        <v>27441</v>
      </c>
      <c r="L15" s="386">
        <f>'T1 wodociag 2022-2026'!S90+'T2 kanalizacja 2022-2026'!S95+'T3 WPI 2022-2026'!V34</f>
        <v>14191</v>
      </c>
      <c r="M15" s="386">
        <f>'T1 wodociag 2022-2026'!V90+'T2 kanalizacja 2022-2026'!V95+'T3 WPI 2022-2026'!Y34</f>
        <v>0</v>
      </c>
    </row>
    <row r="16" spans="5:17" ht="24.95" customHeight="1">
      <c r="E16" s="672"/>
      <c r="F16" s="673"/>
      <c r="G16" s="673"/>
      <c r="H16" s="673"/>
      <c r="I16" s="673"/>
      <c r="J16" s="673"/>
      <c r="K16" s="673"/>
      <c r="L16" s="388"/>
      <c r="N16" t="s">
        <v>742</v>
      </c>
    </row>
    <row r="17" spans="2:19" ht="69.75" hidden="1" customHeight="1" outlineLevel="1">
      <c r="E17" s="1687" t="s">
        <v>603</v>
      </c>
      <c r="F17" s="1688"/>
      <c r="G17" s="1688"/>
      <c r="H17" s="1688"/>
      <c r="I17" s="1688"/>
      <c r="J17" s="1688"/>
      <c r="K17" s="1688"/>
      <c r="L17" s="388"/>
    </row>
    <row r="18" spans="2:19" ht="39" hidden="1" customHeight="1" outlineLevel="1">
      <c r="E18" s="1687" t="s">
        <v>602</v>
      </c>
      <c r="F18" s="1688"/>
      <c r="G18" s="1688"/>
      <c r="H18" s="1688"/>
      <c r="I18" s="1688"/>
      <c r="J18" s="1688"/>
      <c r="K18" s="1688"/>
      <c r="L18" s="388">
        <f>71470+854-350</f>
        <v>71974</v>
      </c>
    </row>
    <row r="19" spans="2:19" ht="24.95" customHeight="1" collapsed="1">
      <c r="E19" s="672"/>
      <c r="F19" s="673"/>
      <c r="G19" s="673"/>
      <c r="H19" s="673"/>
      <c r="I19" s="673"/>
      <c r="J19" s="673"/>
      <c r="K19" s="673"/>
      <c r="L19" s="388"/>
    </row>
    <row r="20" spans="2:19">
      <c r="E20" s="389"/>
      <c r="F20" s="389"/>
      <c r="G20" s="389"/>
      <c r="H20" s="389"/>
      <c r="I20" s="389"/>
      <c r="J20" s="389"/>
      <c r="K20" s="388"/>
      <c r="L20" s="388"/>
    </row>
    <row r="21" spans="2:19">
      <c r="E21" s="499" t="s">
        <v>528</v>
      </c>
      <c r="F21" s="389"/>
      <c r="G21" s="389"/>
      <c r="H21" s="389"/>
      <c r="I21" s="389"/>
      <c r="J21" s="389"/>
      <c r="K21" s="388"/>
      <c r="L21" s="388"/>
    </row>
    <row r="22" spans="2:19" ht="15.75">
      <c r="E22" s="343"/>
      <c r="K22" s="389"/>
      <c r="L22" s="388"/>
    </row>
    <row r="23" spans="2:19" ht="56.25" customHeight="1">
      <c r="B23" s="1006" t="s">
        <v>741</v>
      </c>
      <c r="C23" s="391">
        <v>2019</v>
      </c>
      <c r="D23" s="391">
        <v>2020</v>
      </c>
      <c r="E23" s="392" t="s">
        <v>855</v>
      </c>
      <c r="F23" s="392" t="s">
        <v>23</v>
      </c>
      <c r="G23" s="1256" t="s">
        <v>957</v>
      </c>
      <c r="H23" s="1256" t="s">
        <v>959</v>
      </c>
      <c r="I23" s="392">
        <v>2022</v>
      </c>
      <c r="J23" s="958">
        <v>2023</v>
      </c>
      <c r="K23" s="392">
        <v>2024</v>
      </c>
      <c r="L23" s="958">
        <v>2025</v>
      </c>
      <c r="M23" s="392">
        <v>2026</v>
      </c>
      <c r="N23" s="1255" t="s">
        <v>846</v>
      </c>
      <c r="O23" s="505">
        <v>2833</v>
      </c>
    </row>
    <row r="24" spans="2:19" ht="25.5">
      <c r="B24" s="1010" t="str">
        <f>E24</f>
        <v>na sieci i urządzenia wodociągowe</v>
      </c>
      <c r="C24" s="386">
        <f>O25</f>
        <v>8880</v>
      </c>
      <c r="D24" s="386">
        <v>11005</v>
      </c>
      <c r="E24" s="387" t="s">
        <v>207</v>
      </c>
      <c r="F24" s="385">
        <f>I24+J24+K24+L24+M24</f>
        <v>72205</v>
      </c>
      <c r="G24" s="385">
        <v>11001</v>
      </c>
      <c r="H24" s="386">
        <v>8274</v>
      </c>
      <c r="I24" s="386">
        <f>'T1 wodociag 2022-2026'!H90</f>
        <v>18865</v>
      </c>
      <c r="J24" s="386">
        <f>'T1 wodociag 2022-2026'!K90</f>
        <v>19005</v>
      </c>
      <c r="K24" s="386">
        <f>'T1 wodociag 2022-2026'!N90</f>
        <v>16920</v>
      </c>
      <c r="L24" s="386">
        <f>'T1 wodociag 2022-2026'!Q90</f>
        <v>8130</v>
      </c>
      <c r="M24" s="386">
        <f>'T1 wodociag 2022-2026'!T90</f>
        <v>9285</v>
      </c>
      <c r="N24" s="386">
        <f>F24</f>
        <v>72205</v>
      </c>
      <c r="O24" s="505">
        <f>6047293.4/1000</f>
        <v>6047</v>
      </c>
      <c r="Q24" s="1225">
        <f>P5</f>
        <v>72205</v>
      </c>
      <c r="R24" t="b">
        <f>F24=Q24</f>
        <v>1</v>
      </c>
    </row>
    <row r="25" spans="2:19" ht="25.5">
      <c r="B25" s="1010" t="str">
        <f>E25</f>
        <v>na sieci i urządzenia kanalizacyjne</v>
      </c>
      <c r="C25" s="386">
        <f>36560-C24</f>
        <v>27680</v>
      </c>
      <c r="D25" s="386">
        <f>D45-D24</f>
        <v>51439</v>
      </c>
      <c r="E25" s="387" t="s">
        <v>110</v>
      </c>
      <c r="F25" s="385">
        <f>I25+J25+K25+L25+M25</f>
        <v>165898</v>
      </c>
      <c r="G25" s="385">
        <v>51825</v>
      </c>
      <c r="H25" s="386">
        <v>34211</v>
      </c>
      <c r="I25" s="386">
        <f>'T2 kanalizacja 2022-2026'!H95</f>
        <v>25681</v>
      </c>
      <c r="J25" s="386">
        <f>'T2 kanalizacja 2022-2026'!K95</f>
        <v>40389</v>
      </c>
      <c r="K25" s="386">
        <f>'T2 kanalizacja 2022-2026'!N95</f>
        <v>44289</v>
      </c>
      <c r="L25" s="386">
        <f>'T2 kanalizacja 2022-2026'!Q95</f>
        <v>31589</v>
      </c>
      <c r="M25" s="386">
        <f>'T2 kanalizacja 2022-2026'!T95</f>
        <v>23950</v>
      </c>
      <c r="N25" s="386">
        <f t="shared" ref="N25:N26" si="5">F25</f>
        <v>165898</v>
      </c>
      <c r="O25" s="505">
        <f>O23+O24</f>
        <v>8880</v>
      </c>
      <c r="Q25" s="1225">
        <f>P6</f>
        <v>165898</v>
      </c>
      <c r="R25" t="b">
        <f>F25=Q25</f>
        <v>1</v>
      </c>
      <c r="S25" s="505"/>
    </row>
    <row r="26" spans="2:19" ht="24.75" customHeight="1">
      <c r="B26" s="391" t="str">
        <f>E26</f>
        <v>Ogółem</v>
      </c>
      <c r="C26" s="386">
        <f>C24+C25</f>
        <v>36560</v>
      </c>
      <c r="D26" s="386">
        <f>D24+D25</f>
        <v>62444</v>
      </c>
      <c r="E26" s="392" t="s">
        <v>15</v>
      </c>
      <c r="F26" s="385">
        <f>I26+J26+K26+L26+M26</f>
        <v>238103</v>
      </c>
      <c r="G26" s="385">
        <f>G24+G25</f>
        <v>62826</v>
      </c>
      <c r="H26" s="385">
        <f>H24+H25</f>
        <v>42485</v>
      </c>
      <c r="I26" s="385">
        <f t="shared" ref="I26:M26" si="6">SUM(I24:I25)</f>
        <v>44546</v>
      </c>
      <c r="J26" s="385">
        <f t="shared" si="6"/>
        <v>59394</v>
      </c>
      <c r="K26" s="385">
        <f t="shared" si="6"/>
        <v>61209</v>
      </c>
      <c r="L26" s="385">
        <f t="shared" si="6"/>
        <v>39719</v>
      </c>
      <c r="M26" s="385">
        <f t="shared" si="6"/>
        <v>33235</v>
      </c>
      <c r="N26" s="386">
        <f t="shared" si="5"/>
        <v>238103</v>
      </c>
      <c r="Q26" s="1225">
        <f>SUM(Q24:Q25)</f>
        <v>238103</v>
      </c>
      <c r="R26" t="b">
        <f>F26=Q26</f>
        <v>1</v>
      </c>
    </row>
    <row r="27" spans="2:19">
      <c r="E27" s="389"/>
      <c r="F27" s="389"/>
      <c r="G27" s="389"/>
      <c r="H27" s="389"/>
      <c r="I27" s="389"/>
      <c r="J27" s="389"/>
      <c r="K27" s="388"/>
      <c r="L27" s="388"/>
      <c r="N27" s="1257"/>
    </row>
    <row r="28" spans="2:19" hidden="1" outlineLevel="1">
      <c r="E28" s="389"/>
      <c r="F28" s="389"/>
      <c r="G28" s="389"/>
      <c r="H28" s="389"/>
      <c r="I28" s="389"/>
      <c r="J28" s="389"/>
      <c r="K28" s="388"/>
      <c r="L28" s="388"/>
      <c r="N28" s="1257"/>
    </row>
    <row r="29" spans="2:19" hidden="1" outlineLevel="1">
      <c r="E29" s="388"/>
      <c r="F29" s="388"/>
      <c r="G29" s="388"/>
      <c r="H29" s="388"/>
      <c r="I29" s="388"/>
      <c r="J29" s="388"/>
      <c r="K29" s="389"/>
      <c r="L29" s="388"/>
      <c r="N29" s="1257"/>
    </row>
    <row r="30" spans="2:19" ht="24.95" hidden="1" customHeight="1" outlineLevel="1">
      <c r="E30" s="1686"/>
      <c r="F30" s="1686"/>
      <c r="G30" s="1254"/>
      <c r="H30" s="497"/>
      <c r="I30" s="392"/>
      <c r="J30" s="392"/>
      <c r="K30" s="392"/>
      <c r="L30" s="388"/>
      <c r="N30" s="1257"/>
    </row>
    <row r="31" spans="2:19" ht="24.95" hidden="1" customHeight="1" outlineLevel="1">
      <c r="E31" s="391"/>
      <c r="F31" s="503"/>
      <c r="G31" s="503"/>
      <c r="H31" s="386"/>
      <c r="I31" s="386"/>
      <c r="J31" s="386"/>
      <c r="K31" s="386"/>
      <c r="L31" s="388"/>
      <c r="M31" s="505"/>
      <c r="N31" s="1257"/>
    </row>
    <row r="32" spans="2:19" ht="24.95" hidden="1" customHeight="1" outlineLevel="1">
      <c r="E32" s="390"/>
      <c r="F32" s="386"/>
      <c r="G32" s="386"/>
      <c r="H32" s="386"/>
      <c r="I32" s="386"/>
      <c r="J32" s="386"/>
      <c r="K32" s="386"/>
      <c r="L32" s="388"/>
      <c r="N32" s="1257"/>
    </row>
    <row r="33" spans="1:20" ht="24.95" hidden="1" customHeight="1" outlineLevel="1">
      <c r="E33" s="390"/>
      <c r="F33" s="386"/>
      <c r="G33" s="386"/>
      <c r="H33" s="386"/>
      <c r="I33" s="386"/>
      <c r="J33" s="386"/>
      <c r="K33" s="386"/>
      <c r="L33" s="388"/>
      <c r="N33" s="1257"/>
    </row>
    <row r="34" spans="1:20" ht="24.95" hidden="1" customHeight="1" outlineLevel="1">
      <c r="E34" s="390"/>
      <c r="F34" s="386"/>
      <c r="G34" s="386"/>
      <c r="H34" s="386"/>
      <c r="I34" s="386"/>
      <c r="J34" s="386"/>
      <c r="K34" s="386"/>
      <c r="L34" s="388"/>
      <c r="N34" s="1257"/>
    </row>
    <row r="35" spans="1:20" hidden="1" outlineLevel="1">
      <c r="E35" s="389"/>
      <c r="F35" s="389"/>
      <c r="G35" s="389"/>
      <c r="H35" s="389"/>
      <c r="I35" s="389"/>
      <c r="J35" s="389"/>
      <c r="K35" s="388"/>
      <c r="L35" s="388"/>
      <c r="N35" s="1257"/>
    </row>
    <row r="36" spans="1:20" ht="60.75" hidden="1" customHeight="1" outlineLevel="2">
      <c r="E36" s="1689" t="s">
        <v>604</v>
      </c>
      <c r="F36" s="1690"/>
      <c r="G36" s="1690"/>
      <c r="H36" s="1690"/>
      <c r="I36" s="1690"/>
      <c r="J36" s="1690"/>
      <c r="K36" s="1690"/>
      <c r="N36" s="1257"/>
    </row>
    <row r="37" spans="1:20" hidden="1" outlineLevel="1" collapsed="1">
      <c r="N37" s="1257"/>
    </row>
    <row r="38" spans="1:20" collapsed="1">
      <c r="N38" s="1257"/>
    </row>
    <row r="39" spans="1:20">
      <c r="E39" s="674" t="s">
        <v>530</v>
      </c>
      <c r="F39" s="502"/>
      <c r="G39" s="502"/>
      <c r="N39" s="1257"/>
    </row>
    <row r="40" spans="1:20">
      <c r="F40" s="500"/>
      <c r="G40" s="500"/>
      <c r="N40" s="1257"/>
    </row>
    <row r="41" spans="1:20">
      <c r="F41" s="500"/>
      <c r="G41" s="500"/>
      <c r="N41" s="1257"/>
    </row>
    <row r="42" spans="1:20">
      <c r="N42" s="1257"/>
    </row>
    <row r="43" spans="1:20">
      <c r="E43" s="388"/>
      <c r="F43" s="388"/>
      <c r="G43" s="388"/>
      <c r="H43" s="388"/>
      <c r="I43" s="388"/>
      <c r="J43" s="388"/>
      <c r="K43" s="389"/>
      <c r="N43" s="1257"/>
    </row>
    <row r="44" spans="1:20" ht="42.75" customHeight="1">
      <c r="A44" s="388"/>
      <c r="B44" s="1008" t="s">
        <v>799</v>
      </c>
      <c r="C44" s="391">
        <v>2019</v>
      </c>
      <c r="D44" s="391">
        <v>2020</v>
      </c>
      <c r="E44" s="1686" t="s">
        <v>857</v>
      </c>
      <c r="F44" s="1686"/>
      <c r="G44" s="1256" t="s">
        <v>957</v>
      </c>
      <c r="H44" s="1256" t="s">
        <v>959</v>
      </c>
      <c r="I44" s="392">
        <v>2022</v>
      </c>
      <c r="J44" s="958">
        <v>2023</v>
      </c>
      <c r="K44" s="392">
        <v>2024</v>
      </c>
      <c r="L44" s="958">
        <v>2025</v>
      </c>
      <c r="M44" s="392">
        <v>2026</v>
      </c>
      <c r="N44" s="1255" t="s">
        <v>846</v>
      </c>
      <c r="O44" t="s">
        <v>801</v>
      </c>
      <c r="P44">
        <v>2020</v>
      </c>
      <c r="Q44" s="500">
        <f>1836541/1000</f>
        <v>1836.54</v>
      </c>
      <c r="R44" s="500"/>
      <c r="S44" s="500"/>
      <c r="T44" s="505">
        <f>N46+N47</f>
        <v>165389</v>
      </c>
    </row>
    <row r="45" spans="1:20" ht="18.75" customHeight="1">
      <c r="A45" s="388"/>
      <c r="B45" s="1009" t="str">
        <f>E45</f>
        <v>Razem</v>
      </c>
      <c r="C45" s="386">
        <f>C46+C47+C48</f>
        <v>36560</v>
      </c>
      <c r="D45" s="386">
        <f>D46+D47+D48</f>
        <v>62444</v>
      </c>
      <c r="E45" s="391" t="s">
        <v>23</v>
      </c>
      <c r="F45" s="386">
        <f>I45+J45+K45+L45+M45</f>
        <v>238103</v>
      </c>
      <c r="G45" s="386">
        <f>G46+G47+G48</f>
        <v>62826</v>
      </c>
      <c r="H45" s="386">
        <f>H46+H47+H48</f>
        <v>42485</v>
      </c>
      <c r="I45" s="386">
        <f t="shared" ref="I45:M45" si="7">SUM(I46:I48)</f>
        <v>44546</v>
      </c>
      <c r="J45" s="386">
        <f t="shared" si="7"/>
        <v>59394</v>
      </c>
      <c r="K45" s="386">
        <f t="shared" si="7"/>
        <v>61209</v>
      </c>
      <c r="L45" s="386">
        <f t="shared" si="7"/>
        <v>39719</v>
      </c>
      <c r="M45" s="386">
        <f t="shared" si="7"/>
        <v>33235</v>
      </c>
      <c r="N45" s="386">
        <f>F45</f>
        <v>238103</v>
      </c>
      <c r="P45">
        <v>2019</v>
      </c>
      <c r="Q45" s="500">
        <f>555560/1000</f>
        <v>555.55999999999995</v>
      </c>
      <c r="R45" s="500"/>
      <c r="S45" s="500"/>
      <c r="T45" s="505">
        <f>'T2 kanalizacja 2022-2026'!J13+'T2 kanalizacja 2022-2026'!M13+'T2 kanalizacja 2022-2026'!M14+'T2 kanalizacja 2022-2026'!M15+'T2 kanalizacja 2022-2026'!P14+'T2 kanalizacja 2022-2026'!P15+'T2 kanalizacja 2022-2026'!P16+'T2 kanalizacja 2022-2026'!S14+'T2 kanalizacja 2022-2026'!S15+'T2 kanalizacja 2022-2026'!S16+'T2 kanalizacja 2022-2026'!S17+0</f>
        <v>55701</v>
      </c>
    </row>
    <row r="46" spans="1:20" ht="21" customHeight="1">
      <c r="A46" s="388"/>
      <c r="B46" s="390" t="str">
        <f>E46</f>
        <v>środki własne</v>
      </c>
      <c r="C46" s="386">
        <f>36559.8-C47-C48</f>
        <v>9392</v>
      </c>
      <c r="D46" s="386">
        <f>62444-D47-D48</f>
        <v>17518</v>
      </c>
      <c r="E46" s="390" t="s">
        <v>477</v>
      </c>
      <c r="F46" s="386">
        <f>I46+J46+K46+L46+M46</f>
        <v>109989</v>
      </c>
      <c r="G46" s="386">
        <f>G26-G47-G48</f>
        <v>17900</v>
      </c>
      <c r="H46" s="386">
        <f>H26-H47-H48</f>
        <v>26740</v>
      </c>
      <c r="I46" s="386">
        <f>I26-I47-I48</f>
        <v>27425</v>
      </c>
      <c r="J46" s="386">
        <f t="shared" ref="J46:M46" si="8">J26-J47-J48</f>
        <v>23133</v>
      </c>
      <c r="K46" s="386">
        <f t="shared" si="8"/>
        <v>20668</v>
      </c>
      <c r="L46" s="386">
        <f t="shared" si="8"/>
        <v>18328</v>
      </c>
      <c r="M46" s="386">
        <f t="shared" si="8"/>
        <v>20435</v>
      </c>
      <c r="N46" s="386">
        <f t="shared" ref="N46:N48" si="9">F46</f>
        <v>109989</v>
      </c>
      <c r="Q46" s="500"/>
      <c r="R46" s="500"/>
      <c r="S46" s="500"/>
      <c r="T46" s="505">
        <f>'T1 wodociag 2022-2026'!J74+'T1 wodociag 2022-2026'!M74+'T1 wodociag 2022-2026'!P70+'T1 wodociag 2022-2026'!P72+'T1 wodociag 2022-2026'!M72</f>
        <v>17013</v>
      </c>
    </row>
    <row r="47" spans="1:20" s="988" customFormat="1" ht="19.5" customHeight="1">
      <c r="A47" s="1007"/>
      <c r="B47" s="987" t="str">
        <f>E47</f>
        <v>kredyty i pożyczki</v>
      </c>
      <c r="C47" s="503">
        <f>'Załącznik B przepływy'!G40-Q45</f>
        <v>9434</v>
      </c>
      <c r="D47" s="503">
        <f>'Załącznik B przepływy'!H40-Q44</f>
        <v>13630</v>
      </c>
      <c r="E47" s="987" t="s">
        <v>478</v>
      </c>
      <c r="F47" s="386">
        <f>I47+J47+K47+L47+M47</f>
        <v>55400</v>
      </c>
      <c r="G47" s="503">
        <v>13630</v>
      </c>
      <c r="H47" s="503">
        <v>13935</v>
      </c>
      <c r="I47" s="503">
        <f>I14-1163</f>
        <v>10200</v>
      </c>
      <c r="J47" s="503">
        <f t="shared" ref="J47:M47" si="10">J14</f>
        <v>12100</v>
      </c>
      <c r="K47" s="503">
        <f>K14</f>
        <v>13100</v>
      </c>
      <c r="L47" s="503">
        <f t="shared" si="10"/>
        <v>7200</v>
      </c>
      <c r="M47" s="503">
        <f t="shared" si="10"/>
        <v>12800</v>
      </c>
      <c r="N47" s="386">
        <f t="shared" si="9"/>
        <v>55400</v>
      </c>
      <c r="Q47" s="1011"/>
      <c r="R47" s="1011"/>
      <c r="S47" s="1011"/>
      <c r="T47" s="973">
        <f>T45+T46</f>
        <v>72714</v>
      </c>
    </row>
    <row r="48" spans="1:20" ht="22.5" customHeight="1">
      <c r="A48" s="388"/>
      <c r="B48" s="390" t="str">
        <f>E48</f>
        <v>dotacje</v>
      </c>
      <c r="C48" s="386">
        <f>'Załącznik B przepływy'!G42</f>
        <v>17734</v>
      </c>
      <c r="D48" s="386">
        <f>'Załącznik B przepływy'!H42</f>
        <v>31296</v>
      </c>
      <c r="E48" s="390" t="s">
        <v>479</v>
      </c>
      <c r="F48" s="386">
        <f>I48+J48+K48+L48+M48</f>
        <v>72714</v>
      </c>
      <c r="G48" s="386">
        <v>31296</v>
      </c>
      <c r="H48" s="386">
        <v>1810</v>
      </c>
      <c r="I48" s="386">
        <f>'T4 WPI 2022-2026'!H10+'T4 WPI 2022-2026'!H12+'T4 WPI 2022-2026'!H17+'T4 WPI 2022-2026'!H19</f>
        <v>6921</v>
      </c>
      <c r="J48" s="386">
        <f>'T4 WPI 2022-2026'!I10+'T4 WPI 2022-2026'!I12+'T4 WPI 2022-2026'!I17+'T4 WPI 2022-2026'!I19</f>
        <v>24161</v>
      </c>
      <c r="K48" s="386">
        <f>'T4 WPI 2022-2026'!J10+'T4 WPI 2022-2026'!J12+'T4 WPI 2022-2026'!J17+'T4 WPI 2022-2026'!J19</f>
        <v>27441</v>
      </c>
      <c r="L48" s="386">
        <f>'T4 WPI 2022-2026'!K10+'T4 WPI 2022-2026'!K12+'T4 WPI 2022-2026'!K17+'T4 WPI 2022-2026'!K19</f>
        <v>14191</v>
      </c>
      <c r="M48" s="386">
        <f>'T4 WPI 2022-2026'!L10+'T4 WPI 2022-2026'!L12+'T4 WPI 2022-2026'!L17+'T4 WPI 2022-2026'!L19</f>
        <v>0</v>
      </c>
      <c r="N48" s="386">
        <f t="shared" si="9"/>
        <v>72714</v>
      </c>
    </row>
    <row r="49" spans="2:14">
      <c r="N49" s="1257"/>
    </row>
    <row r="50" spans="2:14">
      <c r="B50" s="389" t="s">
        <v>800</v>
      </c>
      <c r="N50" s="1257"/>
    </row>
    <row r="51" spans="2:14">
      <c r="E51" s="501"/>
      <c r="N51" s="1257"/>
    </row>
    <row r="52" spans="2:14">
      <c r="E52" s="500"/>
      <c r="H52" s="505"/>
      <c r="I52" s="505"/>
      <c r="J52" s="505"/>
      <c r="K52" s="505"/>
      <c r="L52" s="505"/>
      <c r="M52" s="505"/>
    </row>
    <row r="53" spans="2:14">
      <c r="H53" s="505"/>
    </row>
    <row r="54" spans="2:14">
      <c r="H54" s="505"/>
    </row>
    <row r="55" spans="2:14">
      <c r="F55" s="505"/>
      <c r="G55" s="505"/>
      <c r="H55" s="505"/>
    </row>
    <row r="57" spans="2:14">
      <c r="H57" s="505"/>
    </row>
  </sheetData>
  <mergeCells count="6">
    <mergeCell ref="E11:F11"/>
    <mergeCell ref="E30:F30"/>
    <mergeCell ref="E44:F44"/>
    <mergeCell ref="E18:K18"/>
    <mergeCell ref="E17:K17"/>
    <mergeCell ref="E36:K3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0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2"/>
  <sheetViews>
    <sheetView zoomScaleNormal="100" zoomScaleSheetLayoutView="100" workbookViewId="0">
      <pane ySplit="3" topLeftCell="A4" activePane="bottomLeft" state="frozen"/>
      <selection activeCell="S18" sqref="S18"/>
      <selection pane="bottomLeft" activeCell="S18" sqref="S18"/>
    </sheetView>
  </sheetViews>
  <sheetFormatPr defaultRowHeight="12.75" outlineLevelCol="1"/>
  <cols>
    <col min="1" max="1" width="3.7109375" customWidth="1"/>
    <col min="2" max="2" width="33.7109375" customWidth="1"/>
    <col min="3" max="9" width="7.7109375" hidden="1" customWidth="1" outlineLevel="1"/>
    <col min="10" max="10" width="7.7109375" customWidth="1" collapsed="1"/>
    <col min="11" max="14" width="7.7109375" customWidth="1"/>
    <col min="15" max="15" width="9.7109375" customWidth="1"/>
    <col min="17" max="20" width="10.140625" style="992" bestFit="1" customWidth="1"/>
    <col min="21" max="21" width="9.140625" style="992"/>
    <col min="22" max="22" width="10" style="992" customWidth="1"/>
    <col min="23" max="28" width="9.140625" style="992"/>
  </cols>
  <sheetData>
    <row r="1" spans="1:28" ht="14.25">
      <c r="A1" s="8"/>
      <c r="B1" s="8"/>
      <c r="C1" s="8"/>
      <c r="D1" s="8"/>
      <c r="E1" s="8"/>
      <c r="F1" s="488"/>
      <c r="G1" s="671"/>
      <c r="H1" s="671"/>
      <c r="I1" s="671"/>
      <c r="J1" s="671"/>
      <c r="K1" s="671"/>
      <c r="L1" s="671"/>
      <c r="M1" s="671"/>
      <c r="N1" s="676"/>
      <c r="O1" s="8"/>
    </row>
    <row r="2" spans="1:28" ht="14.25">
      <c r="A2" s="8"/>
      <c r="B2" s="8"/>
      <c r="C2" s="8"/>
      <c r="D2" s="8"/>
      <c r="E2" s="8"/>
      <c r="F2" s="8"/>
      <c r="G2" s="8"/>
      <c r="H2" s="8"/>
      <c r="I2" s="8"/>
      <c r="K2" s="362"/>
      <c r="L2" s="362" t="s">
        <v>21</v>
      </c>
      <c r="M2" s="362"/>
      <c r="N2" s="362"/>
      <c r="O2" s="362"/>
    </row>
    <row r="3" spans="1:28" ht="17.100000000000001" customHeight="1">
      <c r="A3" s="11"/>
      <c r="B3" s="9" t="s">
        <v>22</v>
      </c>
      <c r="C3" s="10">
        <v>2013</v>
      </c>
      <c r="D3" s="10">
        <v>2014</v>
      </c>
      <c r="E3" s="10">
        <v>2015</v>
      </c>
      <c r="F3" s="10">
        <v>2016</v>
      </c>
      <c r="G3" s="10">
        <v>2017</v>
      </c>
      <c r="H3" s="10">
        <v>2018</v>
      </c>
      <c r="I3" s="10">
        <v>2019</v>
      </c>
      <c r="J3" s="10">
        <v>2020</v>
      </c>
      <c r="K3" s="10">
        <v>2021</v>
      </c>
      <c r="L3" s="10">
        <v>2022</v>
      </c>
      <c r="M3" s="10">
        <v>2023</v>
      </c>
      <c r="N3" s="10">
        <v>2024</v>
      </c>
      <c r="O3" s="975">
        <v>2025</v>
      </c>
      <c r="P3" s="975">
        <v>2026</v>
      </c>
    </row>
    <row r="4" spans="1:28" ht="14.1" customHeight="1">
      <c r="A4" s="14"/>
      <c r="B4" s="12" t="s">
        <v>448</v>
      </c>
      <c r="C4" s="13">
        <v>27480</v>
      </c>
      <c r="D4" s="13">
        <v>29625</v>
      </c>
      <c r="E4" s="13">
        <v>30661</v>
      </c>
      <c r="F4" s="13">
        <f>F5+F6</f>
        <v>29857</v>
      </c>
      <c r="G4" s="13">
        <f>G5+G6</f>
        <v>29593</v>
      </c>
      <c r="H4" s="13">
        <f>H5+H6</f>
        <v>30261</v>
      </c>
      <c r="I4" s="13">
        <f t="shared" ref="I4:J4" si="0">I5+I6</f>
        <v>30525</v>
      </c>
      <c r="J4" s="13">
        <f t="shared" si="0"/>
        <v>33094</v>
      </c>
      <c r="K4" s="13">
        <f t="shared" ref="K4" si="1">K5+K6</f>
        <v>37739</v>
      </c>
      <c r="L4" s="13">
        <f>L5+L6-L7</f>
        <v>34650</v>
      </c>
      <c r="M4" s="13">
        <f t="shared" ref="M4:P4" si="2">M5+M6-M7</f>
        <v>35074</v>
      </c>
      <c r="N4" s="13">
        <f t="shared" si="2"/>
        <v>38065</v>
      </c>
      <c r="O4" s="13">
        <f t="shared" si="2"/>
        <v>37019</v>
      </c>
      <c r="P4" s="13">
        <f t="shared" si="2"/>
        <v>35158</v>
      </c>
    </row>
    <row r="5" spans="1:28" ht="14.1" customHeight="1">
      <c r="A5" s="14"/>
      <c r="B5" s="15" t="s">
        <v>449</v>
      </c>
      <c r="C5" s="16"/>
      <c r="D5" s="16"/>
      <c r="E5" s="16"/>
      <c r="F5" s="16">
        <v>29857</v>
      </c>
      <c r="G5" s="675">
        <f>29593</f>
        <v>29593</v>
      </c>
      <c r="H5" s="675">
        <f>29696</f>
        <v>29696</v>
      </c>
      <c r="I5" s="675">
        <f>29013-162</f>
        <v>28851</v>
      </c>
      <c r="J5" s="675">
        <v>31420</v>
      </c>
      <c r="K5" s="675">
        <v>33430</v>
      </c>
      <c r="L5" s="675">
        <v>33797</v>
      </c>
      <c r="M5" s="675">
        <v>33066</v>
      </c>
      <c r="N5" s="677">
        <v>32621</v>
      </c>
      <c r="O5" s="1129">
        <v>29690</v>
      </c>
      <c r="P5" s="1131">
        <v>26853</v>
      </c>
    </row>
    <row r="6" spans="1:28" ht="14.1" customHeight="1">
      <c r="A6" s="14"/>
      <c r="B6" s="15" t="s">
        <v>450</v>
      </c>
      <c r="C6" s="16"/>
      <c r="D6" s="16"/>
      <c r="E6" s="16"/>
      <c r="F6" s="16"/>
      <c r="G6" s="16">
        <f>G10+G24+G27+G41+G55</f>
        <v>0</v>
      </c>
      <c r="H6" s="16">
        <f>H10+H24+H27+H41+H55</f>
        <v>565</v>
      </c>
      <c r="I6" s="16">
        <f t="shared" ref="I6:K6" si="3">I10+I24+I27+I41+I55</f>
        <v>1674</v>
      </c>
      <c r="J6" s="16">
        <f>J10+J24+J27+J41+J55</f>
        <v>1674</v>
      </c>
      <c r="K6" s="16">
        <f t="shared" si="3"/>
        <v>4309</v>
      </c>
      <c r="L6" s="1226">
        <f>34650-33797</f>
        <v>853</v>
      </c>
      <c r="M6" s="1226">
        <v>2008</v>
      </c>
      <c r="N6" s="1226">
        <f>5867+27</f>
        <v>5894</v>
      </c>
      <c r="O6" s="1232">
        <f>8647+27</f>
        <v>8674</v>
      </c>
      <c r="P6" s="1232">
        <v>10903</v>
      </c>
      <c r="T6" s="992" t="s">
        <v>675</v>
      </c>
      <c r="U6" s="992">
        <v>96</v>
      </c>
    </row>
    <row r="7" spans="1:28" ht="14.1" customHeight="1">
      <c r="A7" s="14"/>
      <c r="B7" s="17" t="s">
        <v>860</v>
      </c>
      <c r="C7" s="18"/>
      <c r="D7" s="18"/>
      <c r="E7" s="18"/>
      <c r="F7" s="18"/>
      <c r="G7" s="18"/>
      <c r="H7" s="18"/>
      <c r="I7" s="18"/>
      <c r="J7" s="18"/>
      <c r="K7" s="18"/>
      <c r="L7" s="18">
        <v>0</v>
      </c>
      <c r="M7" s="354">
        <v>0</v>
      </c>
      <c r="N7" s="354">
        <v>450</v>
      </c>
      <c r="O7" s="354">
        <f>1345</f>
        <v>1345</v>
      </c>
      <c r="P7" s="1130">
        <f>1345+1253</f>
        <v>2598</v>
      </c>
      <c r="T7" s="992" t="s">
        <v>676</v>
      </c>
      <c r="U7" s="992">
        <v>222</v>
      </c>
    </row>
    <row r="8" spans="1:28" ht="14.1" customHeight="1">
      <c r="A8" s="14"/>
      <c r="B8" s="14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S8" s="992">
        <f>4</f>
        <v>4</v>
      </c>
      <c r="T8" s="992" t="s">
        <v>677</v>
      </c>
      <c r="U8" s="992">
        <v>288</v>
      </c>
    </row>
    <row r="9" spans="1:28" s="364" customFormat="1" ht="17.100000000000001" customHeight="1">
      <c r="B9" s="365" t="s">
        <v>451</v>
      </c>
      <c r="C9" s="10">
        <v>2013</v>
      </c>
      <c r="D9" s="10">
        <v>2014</v>
      </c>
      <c r="E9" s="10">
        <v>2015</v>
      </c>
      <c r="F9" s="366">
        <v>2016</v>
      </c>
      <c r="G9" s="366">
        <v>2017</v>
      </c>
      <c r="H9" s="366">
        <v>2018</v>
      </c>
      <c r="I9" s="366">
        <v>2019</v>
      </c>
      <c r="J9" s="366">
        <v>2020</v>
      </c>
      <c r="K9" s="366">
        <v>2021</v>
      </c>
      <c r="L9" s="366">
        <v>2022</v>
      </c>
      <c r="M9" s="366">
        <v>2023</v>
      </c>
      <c r="N9" s="366">
        <v>2024</v>
      </c>
      <c r="O9" s="1132">
        <v>2025</v>
      </c>
      <c r="P9" s="1137">
        <v>2026</v>
      </c>
      <c r="Q9" s="993"/>
      <c r="R9" s="993"/>
      <c r="S9" s="993"/>
      <c r="T9" s="992" t="s">
        <v>678</v>
      </c>
      <c r="U9" s="992">
        <v>349</v>
      </c>
      <c r="V9" s="993"/>
      <c r="W9" s="993"/>
      <c r="X9" s="993"/>
      <c r="Y9" s="993"/>
      <c r="Z9" s="993"/>
      <c r="AA9" s="993"/>
      <c r="AB9" s="993"/>
    </row>
    <row r="10" spans="1:28" ht="14.1" customHeight="1">
      <c r="B10" s="12" t="s">
        <v>452</v>
      </c>
      <c r="C10" s="368"/>
      <c r="D10" s="368"/>
      <c r="E10" s="369"/>
      <c r="F10" s="369">
        <f>E11*F23</f>
        <v>0</v>
      </c>
      <c r="G10" s="369">
        <f t="shared" ref="G10:M10" si="4">F11*G23</f>
        <v>0</v>
      </c>
      <c r="H10" s="369">
        <f t="shared" si="4"/>
        <v>0</v>
      </c>
      <c r="I10" s="369">
        <f>H11*I23</f>
        <v>0</v>
      </c>
      <c r="J10" s="369">
        <f>I11*J23</f>
        <v>0</v>
      </c>
      <c r="K10" s="369">
        <f>J11*K23</f>
        <v>1321</v>
      </c>
      <c r="L10" s="369">
        <f>K11*L23</f>
        <v>1041</v>
      </c>
      <c r="M10" s="369">
        <f t="shared" si="4"/>
        <v>1072</v>
      </c>
      <c r="N10" s="369">
        <f>M11*N23</f>
        <v>125</v>
      </c>
      <c r="O10" s="1133">
        <f>N11*O23</f>
        <v>1253</v>
      </c>
      <c r="P10" s="1130"/>
      <c r="T10" s="993"/>
      <c r="U10" s="993">
        <f>SUM(U6:U9)</f>
        <v>955</v>
      </c>
    </row>
    <row r="11" spans="1:28" ht="14.1" customHeight="1">
      <c r="B11" s="15" t="s">
        <v>453</v>
      </c>
      <c r="C11" s="370"/>
      <c r="D11" s="370"/>
      <c r="E11" s="19"/>
      <c r="F11" s="371">
        <f>E11+F13</f>
        <v>0</v>
      </c>
      <c r="G11" s="371">
        <f>F11+G14</f>
        <v>0</v>
      </c>
      <c r="H11" s="371">
        <f>H15</f>
        <v>0</v>
      </c>
      <c r="I11" s="371">
        <f>I16</f>
        <v>0</v>
      </c>
      <c r="J11" s="371">
        <f>J17</f>
        <v>44047</v>
      </c>
      <c r="K11" s="371">
        <f>K18</f>
        <v>34700</v>
      </c>
      <c r="L11" s="371">
        <f>L19</f>
        <v>35734</v>
      </c>
      <c r="M11" s="371">
        <f>M20</f>
        <v>4150</v>
      </c>
      <c r="N11" s="371">
        <f>N21</f>
        <v>41750</v>
      </c>
      <c r="O11" s="382">
        <f>N11+O21</f>
        <v>41750</v>
      </c>
      <c r="P11" s="1130"/>
    </row>
    <row r="12" spans="1:28" ht="14.1" customHeight="1">
      <c r="B12" s="372">
        <v>2015</v>
      </c>
      <c r="C12" s="370"/>
      <c r="D12" s="370"/>
      <c r="E12" s="19"/>
      <c r="F12" s="371"/>
      <c r="G12" s="371"/>
      <c r="H12" s="371"/>
      <c r="I12" s="371"/>
      <c r="J12" s="371"/>
      <c r="K12" s="371"/>
      <c r="L12" s="371"/>
      <c r="M12" s="382"/>
      <c r="N12" s="382"/>
      <c r="O12" s="382"/>
      <c r="P12" s="1130"/>
      <c r="U12" s="992">
        <v>183773</v>
      </c>
    </row>
    <row r="13" spans="1:28" ht="14.1" customHeight="1">
      <c r="B13" s="372">
        <v>2016</v>
      </c>
      <c r="C13" s="370"/>
      <c r="D13" s="370"/>
      <c r="E13" s="371"/>
      <c r="F13" s="373"/>
      <c r="G13" s="371"/>
      <c r="H13" s="371"/>
      <c r="I13" s="371"/>
      <c r="J13" s="371"/>
      <c r="K13" s="371"/>
      <c r="L13" s="371"/>
      <c r="M13" s="382"/>
      <c r="N13" s="382"/>
      <c r="O13" s="382"/>
      <c r="P13" s="1130"/>
      <c r="U13" s="994">
        <f>T23-U12</f>
        <v>182</v>
      </c>
    </row>
    <row r="14" spans="1:28" ht="14.1" customHeight="1">
      <c r="B14" s="372">
        <v>2017</v>
      </c>
      <c r="C14" s="370"/>
      <c r="D14" s="370"/>
      <c r="E14" s="371"/>
      <c r="F14" s="371"/>
      <c r="G14" s="670">
        <v>0</v>
      </c>
      <c r="H14" s="371"/>
      <c r="I14" s="371"/>
      <c r="J14" s="371"/>
      <c r="K14" s="371"/>
      <c r="L14" s="371"/>
      <c r="M14" s="382"/>
      <c r="N14" s="382"/>
      <c r="O14" s="382"/>
      <c r="P14" s="1130"/>
    </row>
    <row r="15" spans="1:28" ht="14.1" customHeight="1">
      <c r="B15" s="372">
        <v>2018</v>
      </c>
      <c r="C15" s="370"/>
      <c r="D15" s="370"/>
      <c r="E15" s="371"/>
      <c r="F15" s="371"/>
      <c r="G15" s="371"/>
      <c r="H15" s="670">
        <f>2056*0</f>
        <v>0</v>
      </c>
      <c r="I15" s="371"/>
      <c r="J15" s="371"/>
      <c r="K15" s="371"/>
      <c r="L15" s="371"/>
      <c r="M15" s="382"/>
      <c r="N15" s="382"/>
      <c r="O15" s="382"/>
      <c r="P15" s="1130"/>
      <c r="Q15" s="995">
        <v>955</v>
      </c>
      <c r="R15" s="992" t="s">
        <v>502</v>
      </c>
    </row>
    <row r="16" spans="1:28" ht="14.1" customHeight="1">
      <c r="B16" s="372">
        <v>2019</v>
      </c>
      <c r="C16" s="370"/>
      <c r="D16" s="370"/>
      <c r="E16" s="371"/>
      <c r="F16" s="371"/>
      <c r="G16" s="371"/>
      <c r="H16" s="371"/>
      <c r="I16" s="857">
        <f>18447*0</f>
        <v>0</v>
      </c>
      <c r="J16" s="371"/>
      <c r="K16" s="371"/>
      <c r="L16" s="371"/>
      <c r="M16" s="382"/>
      <c r="N16" s="382"/>
      <c r="O16" s="382"/>
      <c r="P16" s="1130"/>
    </row>
    <row r="17" spans="2:23" ht="14.1" customHeight="1">
      <c r="B17" s="372">
        <v>2020</v>
      </c>
      <c r="C17" s="370"/>
      <c r="D17" s="370"/>
      <c r="E17" s="371"/>
      <c r="F17" s="371"/>
      <c r="G17" s="371"/>
      <c r="H17" s="371"/>
      <c r="I17" s="371"/>
      <c r="J17" s="858">
        <f>(17508*0)+44047</f>
        <v>44047</v>
      </c>
      <c r="K17" s="371"/>
      <c r="L17" s="371"/>
      <c r="M17" s="382"/>
      <c r="N17" s="382"/>
      <c r="O17" s="382"/>
      <c r="P17" s="1130"/>
      <c r="S17" s="992">
        <v>955</v>
      </c>
    </row>
    <row r="18" spans="2:23" ht="14.1" customHeight="1">
      <c r="B18" s="372">
        <v>2021</v>
      </c>
      <c r="C18" s="370"/>
      <c r="D18" s="370"/>
      <c r="E18" s="371"/>
      <c r="F18" s="371"/>
      <c r="G18" s="371"/>
      <c r="H18" s="371"/>
      <c r="I18" s="371"/>
      <c r="J18" s="371"/>
      <c r="K18" s="857">
        <f>('T2 kanalizacja 2022-2026'!C11+179+294+461+U9+'T2 kanalizacja 2022-2026'!C12+86+141+151+'T2 kanalizacja 2022-2026'!C10+40+66+112+21+34+58+U7)*0+('T2 kanalizacja 2022-2026'!W10+'T2 kanalizacja 2022-2026'!D10+'T2 kanalizacja 2022-2026'!W11+'T2 kanalizacja 2022-2026'!D11)*0+59553*0+34700</f>
        <v>34700</v>
      </c>
      <c r="L18" s="834"/>
      <c r="M18" s="382"/>
      <c r="N18" s="382"/>
      <c r="O18" s="382"/>
      <c r="P18" s="1130"/>
      <c r="Q18" s="994">
        <v>1960</v>
      </c>
      <c r="R18" s="487">
        <v>1.08</v>
      </c>
      <c r="S18" s="487">
        <f>$S$17*R18%</f>
        <v>10.31</v>
      </c>
      <c r="T18" s="487">
        <f>Q18+S18</f>
        <v>1970.31</v>
      </c>
      <c r="U18" s="487"/>
    </row>
    <row r="19" spans="2:23" ht="14.1" customHeight="1">
      <c r="B19" s="372">
        <v>2022</v>
      </c>
      <c r="C19" s="370"/>
      <c r="D19" s="370"/>
      <c r="E19" s="371"/>
      <c r="F19" s="371"/>
      <c r="G19" s="371"/>
      <c r="H19" s="371"/>
      <c r="I19" s="371"/>
      <c r="J19" s="371"/>
      <c r="K19" s="19"/>
      <c r="L19" s="1170">
        <f>('T2 kanalizacja 2022-2026'!W12+'T2 kanalizacja 2022-2026'!D12)</f>
        <v>35734</v>
      </c>
      <c r="M19" s="382"/>
      <c r="N19" s="382"/>
      <c r="O19" s="382"/>
      <c r="P19" s="1130"/>
      <c r="Q19" s="994">
        <v>22150</v>
      </c>
      <c r="R19" s="487">
        <f t="shared" ref="R19:R21" si="5">Q19/$Q$23*100</f>
        <v>12.1</v>
      </c>
      <c r="S19" s="487">
        <f t="shared" ref="S19:S21" si="6">$S$17*R19%</f>
        <v>115.56</v>
      </c>
      <c r="T19" s="487">
        <f t="shared" ref="T19:T21" si="7">Q19+S19</f>
        <v>22265.56</v>
      </c>
      <c r="U19" s="487"/>
    </row>
    <row r="20" spans="2:23" ht="14.1" customHeight="1">
      <c r="B20" s="372">
        <v>2023</v>
      </c>
      <c r="C20" s="370"/>
      <c r="D20" s="370"/>
      <c r="E20" s="371"/>
      <c r="F20" s="371"/>
      <c r="G20" s="371"/>
      <c r="H20" s="371"/>
      <c r="I20" s="371"/>
      <c r="J20" s="371"/>
      <c r="K20" s="19"/>
      <c r="L20" s="19"/>
      <c r="M20" s="1169">
        <f>'T2 kanalizacja 2022-2026'!W13</f>
        <v>4150</v>
      </c>
      <c r="N20" s="382"/>
      <c r="O20" s="382"/>
      <c r="P20" s="1130"/>
      <c r="Q20" s="994">
        <v>15447</v>
      </c>
      <c r="R20" s="487">
        <f t="shared" si="5"/>
        <v>8.44</v>
      </c>
      <c r="S20" s="487">
        <f t="shared" si="6"/>
        <v>80.599999999999994</v>
      </c>
      <c r="T20" s="487">
        <f t="shared" si="7"/>
        <v>15527.6</v>
      </c>
      <c r="U20" s="487"/>
    </row>
    <row r="21" spans="2:23" ht="14.1" customHeight="1">
      <c r="B21" s="372">
        <v>2024</v>
      </c>
      <c r="C21" s="370"/>
      <c r="D21" s="370"/>
      <c r="E21" s="371"/>
      <c r="F21" s="371"/>
      <c r="G21" s="371"/>
      <c r="H21" s="371"/>
      <c r="I21" s="371"/>
      <c r="J21" s="371"/>
      <c r="K21" s="19"/>
      <c r="L21" s="19"/>
      <c r="M21" s="382"/>
      <c r="N21" s="1169">
        <f>'T2 kanalizacja 2022-2026'!W14+'T2 kanalizacja 2022-2026'!W15</f>
        <v>41750</v>
      </c>
      <c r="O21" s="382"/>
      <c r="P21" s="1130"/>
      <c r="Q21" s="994">
        <v>143443</v>
      </c>
      <c r="R21" s="487">
        <f t="shared" si="5"/>
        <v>78.38</v>
      </c>
      <c r="S21" s="487">
        <f t="shared" si="6"/>
        <v>748.53</v>
      </c>
      <c r="T21" s="487">
        <f t="shared" si="7"/>
        <v>144191.53</v>
      </c>
      <c r="U21" s="487"/>
    </row>
    <row r="22" spans="2:23" ht="14.1" customHeight="1">
      <c r="B22" s="372">
        <v>2025</v>
      </c>
      <c r="C22" s="370"/>
      <c r="D22" s="370"/>
      <c r="E22" s="371"/>
      <c r="F22" s="371"/>
      <c r="G22" s="371"/>
      <c r="H22" s="371"/>
      <c r="I22" s="371"/>
      <c r="J22" s="371"/>
      <c r="K22" s="19"/>
      <c r="L22" s="19"/>
      <c r="M22" s="382"/>
      <c r="N22" s="973"/>
      <c r="O22" s="1169"/>
      <c r="P22" s="1130"/>
      <c r="Q22" s="994"/>
      <c r="R22" s="487"/>
      <c r="S22" s="487"/>
      <c r="T22" s="487"/>
      <c r="U22" s="487"/>
    </row>
    <row r="23" spans="2:23" ht="14.1" customHeight="1">
      <c r="B23" s="15" t="s">
        <v>454</v>
      </c>
      <c r="C23" s="370"/>
      <c r="D23" s="370"/>
      <c r="E23" s="374"/>
      <c r="F23" s="375">
        <v>0.03</v>
      </c>
      <c r="G23" s="375">
        <v>0.03</v>
      </c>
      <c r="H23" s="375">
        <v>0.03</v>
      </c>
      <c r="I23" s="375">
        <v>0.03</v>
      </c>
      <c r="J23" s="375">
        <v>0.03</v>
      </c>
      <c r="K23" s="375">
        <v>0.03</v>
      </c>
      <c r="L23" s="375">
        <v>0.03</v>
      </c>
      <c r="M23" s="375">
        <v>0.03</v>
      </c>
      <c r="N23" s="375">
        <v>0.03</v>
      </c>
      <c r="O23" s="1134">
        <v>0.03</v>
      </c>
      <c r="P23" s="1130"/>
      <c r="Q23" s="996">
        <f>SUM(Q18:Q21)</f>
        <v>183000</v>
      </c>
      <c r="R23" s="996">
        <f>SUM(R18:R21)</f>
        <v>100</v>
      </c>
      <c r="S23" s="996">
        <f>SUM(S18:S21)</f>
        <v>955</v>
      </c>
      <c r="T23" s="996">
        <f>SUM(T18:T21)</f>
        <v>183955</v>
      </c>
      <c r="U23" s="487"/>
      <c r="V23" s="992">
        <v>113587</v>
      </c>
      <c r="W23" s="992" t="s">
        <v>514</v>
      </c>
    </row>
    <row r="24" spans="2:23" ht="14.1" customHeight="1">
      <c r="B24" s="15" t="s">
        <v>455</v>
      </c>
      <c r="C24" s="370"/>
      <c r="D24" s="370"/>
      <c r="E24" s="371"/>
      <c r="F24" s="371">
        <f>E25*F26</f>
        <v>0</v>
      </c>
      <c r="G24" s="371">
        <f>(E25+F25)*G26</f>
        <v>0</v>
      </c>
      <c r="H24" s="371">
        <f>(E25+F25+G25)*H26</f>
        <v>0</v>
      </c>
      <c r="I24" s="371">
        <f>(E25+F25+G25+H25)*I26</f>
        <v>0</v>
      </c>
      <c r="J24" s="371">
        <f>(E25+F25+G25+H25+I25)*J26</f>
        <v>0</v>
      </c>
      <c r="K24" s="371">
        <f>(E25+F25+G25+H25+I25+J25)*K26</f>
        <v>0</v>
      </c>
      <c r="L24" s="371">
        <f>(E25+F25+G25+H25+I25+J25+K25)*L26</f>
        <v>25</v>
      </c>
      <c r="M24" s="371">
        <f>(F25+G25+H25+I25+J25+K25+L25)*M26</f>
        <v>25</v>
      </c>
      <c r="N24" s="19">
        <f>(F25+G25+H25+I25+J25+K25+L25+M25)*N26</f>
        <v>25</v>
      </c>
      <c r="O24" s="1135">
        <f>(G25+H25+I25+J25+K25+L25+M25+N25)*O26</f>
        <v>25</v>
      </c>
      <c r="P24" s="1130"/>
      <c r="Q24" s="994"/>
      <c r="R24" s="487"/>
      <c r="S24" s="487"/>
      <c r="T24" s="487"/>
      <c r="U24" s="487"/>
      <c r="V24" s="992">
        <v>500</v>
      </c>
      <c r="W24" s="1691" t="s">
        <v>515</v>
      </c>
    </row>
    <row r="25" spans="2:23" ht="14.1" customHeight="1">
      <c r="B25" s="15" t="s">
        <v>456</v>
      </c>
      <c r="C25" s="370"/>
      <c r="D25" s="370"/>
      <c r="E25" s="19"/>
      <c r="F25" s="373">
        <f>850*0</f>
        <v>0</v>
      </c>
      <c r="G25" s="373">
        <f>850*0</f>
        <v>0</v>
      </c>
      <c r="H25" s="373">
        <f>1150*0</f>
        <v>0</v>
      </c>
      <c r="I25" s="373">
        <f>500*0</f>
        <v>0</v>
      </c>
      <c r="J25" s="373">
        <f>620*0</f>
        <v>0</v>
      </c>
      <c r="K25" s="373">
        <f>'T3 WPI 2022-2026'!H33</f>
        <v>245</v>
      </c>
      <c r="L25" s="373">
        <f>'T3 WPI 2022-2026'!K33</f>
        <v>0</v>
      </c>
      <c r="M25" s="373">
        <f>'T3 WPI 2022-2026'!L33</f>
        <v>0</v>
      </c>
      <c r="N25" s="373">
        <f>'T3 WPI 2022-2026'!Q33</f>
        <v>0</v>
      </c>
      <c r="O25" s="859">
        <f>'T3 WPI 2022-2026'!T33</f>
        <v>0</v>
      </c>
      <c r="P25" s="1130"/>
      <c r="Q25" s="997"/>
      <c r="R25" s="487"/>
      <c r="S25" s="487"/>
      <c r="T25" s="487"/>
      <c r="U25" s="487"/>
      <c r="V25" s="992">
        <v>784</v>
      </c>
      <c r="W25" s="1691"/>
    </row>
    <row r="26" spans="2:23" ht="14.1" customHeight="1">
      <c r="B26" s="15" t="s">
        <v>454</v>
      </c>
      <c r="C26" s="370"/>
      <c r="D26" s="370"/>
      <c r="E26" s="374"/>
      <c r="F26" s="376">
        <v>0.1</v>
      </c>
      <c r="G26" s="376">
        <v>0.1</v>
      </c>
      <c r="H26" s="376">
        <v>0.1</v>
      </c>
      <c r="I26" s="376">
        <v>0.1</v>
      </c>
      <c r="J26" s="376">
        <v>0.1</v>
      </c>
      <c r="K26" s="376">
        <v>0.1</v>
      </c>
      <c r="L26" s="376">
        <v>0.1</v>
      </c>
      <c r="M26" s="376">
        <v>0.1</v>
      </c>
      <c r="N26" s="376">
        <v>0.1</v>
      </c>
      <c r="O26" s="1136">
        <v>0.1</v>
      </c>
      <c r="P26" s="1130"/>
      <c r="Q26" s="994"/>
      <c r="R26" s="487"/>
      <c r="S26" s="487"/>
      <c r="T26" s="487"/>
      <c r="U26" s="487"/>
      <c r="V26" s="992">
        <v>955</v>
      </c>
      <c r="W26" s="992" t="s">
        <v>516</v>
      </c>
    </row>
    <row r="27" spans="2:23" ht="27.75" customHeight="1">
      <c r="B27" s="828" t="s">
        <v>669</v>
      </c>
      <c r="C27" s="370"/>
      <c r="D27" s="370"/>
      <c r="E27" s="371"/>
      <c r="F27" s="371">
        <f t="shared" ref="F27:O27" si="8">E28*F40</f>
        <v>0</v>
      </c>
      <c r="G27" s="371">
        <f t="shared" si="8"/>
        <v>0</v>
      </c>
      <c r="H27" s="371">
        <f>G28*H40</f>
        <v>0</v>
      </c>
      <c r="I27" s="371">
        <f t="shared" si="8"/>
        <v>0</v>
      </c>
      <c r="J27" s="371">
        <f t="shared" si="8"/>
        <v>0</v>
      </c>
      <c r="K27" s="371">
        <f>J28*K40</f>
        <v>296</v>
      </c>
      <c r="L27" s="371">
        <f t="shared" si="8"/>
        <v>810</v>
      </c>
      <c r="M27" s="371">
        <f t="shared" si="8"/>
        <v>1222</v>
      </c>
      <c r="N27" s="371">
        <f t="shared" si="8"/>
        <v>2331</v>
      </c>
      <c r="O27" s="382">
        <f t="shared" si="8"/>
        <v>3400</v>
      </c>
      <c r="P27" s="1130"/>
      <c r="R27" s="486"/>
      <c r="S27" s="486"/>
      <c r="T27" s="486"/>
      <c r="U27" s="486"/>
      <c r="V27" s="992">
        <f>SUM(V23:V26)</f>
        <v>115826</v>
      </c>
    </row>
    <row r="28" spans="2:23" ht="14.1" customHeight="1">
      <c r="B28" s="15" t="s">
        <v>453</v>
      </c>
      <c r="C28" s="370"/>
      <c r="D28" s="370"/>
      <c r="E28" s="19"/>
      <c r="F28" s="371">
        <f>E28+F30</f>
        <v>0</v>
      </c>
      <c r="G28" s="371">
        <f>F28+G31</f>
        <v>0</v>
      </c>
      <c r="H28" s="371">
        <f>G28+H32</f>
        <v>0</v>
      </c>
      <c r="I28" s="371">
        <f>H28+I33</f>
        <v>0</v>
      </c>
      <c r="J28" s="371">
        <f>I28+J34</f>
        <v>6570</v>
      </c>
      <c r="K28" s="371">
        <f>J28+K35</f>
        <v>17995</v>
      </c>
      <c r="L28" s="371">
        <f>K28+L36</f>
        <v>27160</v>
      </c>
      <c r="M28" s="371">
        <f>L28+M37</f>
        <v>51802</v>
      </c>
      <c r="N28" s="371">
        <f>M28+N38</f>
        <v>75557</v>
      </c>
      <c r="O28" s="382">
        <f>N28+O38</f>
        <v>75557</v>
      </c>
      <c r="P28" s="1130"/>
      <c r="R28" s="486"/>
      <c r="S28" s="486"/>
      <c r="T28" s="487"/>
      <c r="U28" s="486"/>
    </row>
    <row r="29" spans="2:23" ht="14.1" customHeight="1">
      <c r="B29" s="372">
        <v>2015</v>
      </c>
      <c r="C29" s="370"/>
      <c r="D29" s="370"/>
      <c r="E29" s="19"/>
      <c r="F29" s="371"/>
      <c r="G29" s="371"/>
      <c r="H29" s="371"/>
      <c r="I29" s="371"/>
      <c r="J29" s="371"/>
      <c r="K29" s="371"/>
      <c r="L29" s="371"/>
      <c r="M29" s="382"/>
      <c r="N29" s="382"/>
      <c r="O29" s="382"/>
      <c r="P29" s="1130"/>
      <c r="R29" s="486"/>
      <c r="S29" s="486"/>
      <c r="T29" s="486"/>
      <c r="U29" s="486"/>
    </row>
    <row r="30" spans="2:23" ht="14.1" customHeight="1">
      <c r="B30" s="372">
        <v>2016</v>
      </c>
      <c r="C30" s="370"/>
      <c r="D30" s="370"/>
      <c r="E30" s="371"/>
      <c r="F30" s="829">
        <f>420*0</f>
        <v>0</v>
      </c>
      <c r="G30" s="371"/>
      <c r="H30" s="371"/>
      <c r="I30" s="371"/>
      <c r="J30" s="371"/>
      <c r="K30" s="371"/>
      <c r="L30" s="371"/>
      <c r="M30" s="382"/>
      <c r="N30" s="382"/>
      <c r="O30" s="382"/>
      <c r="P30" s="1130"/>
    </row>
    <row r="31" spans="2:23">
      <c r="B31" s="372">
        <v>2017</v>
      </c>
      <c r="C31" s="370"/>
      <c r="D31" s="370"/>
      <c r="E31" s="371"/>
      <c r="F31" s="371"/>
      <c r="G31" s="829">
        <f>1600*0</f>
        <v>0</v>
      </c>
      <c r="H31" s="371"/>
      <c r="I31" s="371"/>
      <c r="J31" s="371"/>
      <c r="K31" s="371"/>
      <c r="L31" s="371"/>
      <c r="M31" s="382"/>
      <c r="N31" s="382"/>
      <c r="O31" s="382"/>
      <c r="P31" s="1130"/>
    </row>
    <row r="32" spans="2:23" ht="14.1" customHeight="1">
      <c r="B32" s="372">
        <v>2018</v>
      </c>
      <c r="C32" s="370"/>
      <c r="D32" s="370"/>
      <c r="E32" s="371"/>
      <c r="F32" s="371"/>
      <c r="G32" s="371"/>
      <c r="H32" s="670">
        <f>2130*0</f>
        <v>0</v>
      </c>
      <c r="I32" s="371"/>
      <c r="J32" s="371"/>
      <c r="K32" s="371"/>
      <c r="L32" s="371"/>
      <c r="M32" s="382"/>
      <c r="N32" s="382"/>
      <c r="O32" s="382"/>
      <c r="P32" s="1130"/>
      <c r="S32" s="994"/>
      <c r="T32" s="994"/>
      <c r="U32" s="994">
        <v>955</v>
      </c>
      <c r="V32" s="992" t="s">
        <v>601</v>
      </c>
    </row>
    <row r="33" spans="2:22" ht="14.1" customHeight="1">
      <c r="B33" s="372">
        <v>2019</v>
      </c>
      <c r="C33" s="370"/>
      <c r="D33" s="370"/>
      <c r="E33" s="371"/>
      <c r="F33" s="371"/>
      <c r="G33" s="371"/>
      <c r="H33" s="371"/>
      <c r="I33" s="857">
        <f>4974*0</f>
        <v>0</v>
      </c>
      <c r="J33" s="371"/>
      <c r="K33" s="371"/>
      <c r="L33" s="371"/>
      <c r="M33" s="382"/>
      <c r="N33" s="382"/>
      <c r="O33" s="382"/>
      <c r="P33" s="1130"/>
      <c r="S33" s="994">
        <v>88826</v>
      </c>
      <c r="T33" s="994">
        <f>S33/$S$35*100</f>
        <v>77.92</v>
      </c>
      <c r="U33" s="994">
        <f>$U$32*T33%</f>
        <v>744.14</v>
      </c>
      <c r="V33" s="994">
        <f>S33+U33</f>
        <v>89570.14</v>
      </c>
    </row>
    <row r="34" spans="2:22" ht="14.1" customHeight="1">
      <c r="B34" s="372">
        <v>2020</v>
      </c>
      <c r="C34" s="370"/>
      <c r="D34" s="370"/>
      <c r="E34" s="371"/>
      <c r="F34" s="371"/>
      <c r="G34" s="371"/>
      <c r="H34" s="371"/>
      <c r="I34" s="371"/>
      <c r="J34" s="937">
        <f>6570</f>
        <v>6570</v>
      </c>
      <c r="K34" s="371"/>
      <c r="L34" s="371"/>
      <c r="M34" s="382"/>
      <c r="N34" s="382"/>
      <c r="O34" s="382"/>
      <c r="P34" s="1130"/>
      <c r="S34" s="994">
        <v>25174</v>
      </c>
      <c r="T34" s="994">
        <f>S34/$S$35*100</f>
        <v>22.08</v>
      </c>
      <c r="U34" s="994">
        <f>$U$32*T34%</f>
        <v>210.86</v>
      </c>
      <c r="V34" s="994">
        <f>S34+U34</f>
        <v>25384.86</v>
      </c>
    </row>
    <row r="35" spans="2:22" ht="14.1" customHeight="1">
      <c r="B35" s="372">
        <v>2021</v>
      </c>
      <c r="C35" s="370"/>
      <c r="D35" s="370"/>
      <c r="E35" s="371"/>
      <c r="F35" s="371"/>
      <c r="G35" s="371"/>
      <c r="H35" s="371"/>
      <c r="I35" s="371"/>
      <c r="J35" s="371"/>
      <c r="K35" s="937">
        <f>'T1 wodociag 2022-2026'!E62+'T1 wodociag 2022-2026'!F85+'T2 kanalizacja 2022-2026'!E78+'T2 kanalizacja 2022-2026'!E88</f>
        <v>11425</v>
      </c>
      <c r="L35" s="371"/>
      <c r="M35" s="382"/>
      <c r="N35" s="382"/>
      <c r="O35" s="382"/>
      <c r="P35" s="1130"/>
      <c r="S35" s="994">
        <f>S33+S34</f>
        <v>114000</v>
      </c>
      <c r="T35" s="994">
        <f>T33+T34</f>
        <v>100</v>
      </c>
      <c r="U35" s="994">
        <f>U33+U34</f>
        <v>955</v>
      </c>
      <c r="V35" s="994">
        <f>V33+V34</f>
        <v>114955</v>
      </c>
    </row>
    <row r="36" spans="2:22" ht="14.1" customHeight="1">
      <c r="B36" s="372">
        <v>2022</v>
      </c>
      <c r="C36" s="370"/>
      <c r="D36" s="370"/>
      <c r="E36" s="371"/>
      <c r="F36" s="371"/>
      <c r="G36" s="371"/>
      <c r="H36" s="371"/>
      <c r="I36" s="371"/>
      <c r="J36" s="371"/>
      <c r="K36" s="19"/>
      <c r="L36" s="937">
        <f>'T1 wodociag 2022-2026'!H62+'T1 wodociag 2022-2026'!I85+'T2 kanalizacja 2022-2026'!H78+'T2 kanalizacja 2022-2026'!H88</f>
        <v>9165</v>
      </c>
      <c r="M36" s="382"/>
      <c r="N36" s="382"/>
      <c r="O36" s="382"/>
      <c r="P36" s="1130"/>
      <c r="S36" s="994"/>
      <c r="T36" s="994"/>
      <c r="U36" s="994"/>
    </row>
    <row r="37" spans="2:22" ht="14.1" customHeight="1">
      <c r="B37" s="372">
        <v>2023</v>
      </c>
      <c r="C37" s="370"/>
      <c r="D37" s="370"/>
      <c r="E37" s="371"/>
      <c r="F37" s="371"/>
      <c r="G37" s="371"/>
      <c r="H37" s="371"/>
      <c r="I37" s="371"/>
      <c r="J37" s="371"/>
      <c r="K37" s="19"/>
      <c r="L37" s="19"/>
      <c r="M37" s="940">
        <f>'T1 wodociag 2022-2026'!K85+'T2 kanalizacja 2022-2026'!K78+'T2 kanalizacja 2022-2026'!K88</f>
        <v>24642</v>
      </c>
      <c r="N37" s="382"/>
      <c r="O37" s="382"/>
      <c r="P37" s="1130"/>
      <c r="S37" s="994"/>
      <c r="T37" s="994"/>
      <c r="U37" s="994"/>
    </row>
    <row r="38" spans="2:22" ht="14.1" customHeight="1">
      <c r="B38" s="372">
        <v>2024</v>
      </c>
      <c r="C38" s="370"/>
      <c r="D38" s="370"/>
      <c r="E38" s="371"/>
      <c r="F38" s="371"/>
      <c r="G38" s="371"/>
      <c r="H38" s="371"/>
      <c r="I38" s="371"/>
      <c r="J38" s="371"/>
      <c r="K38" s="19"/>
      <c r="L38" s="19"/>
      <c r="M38" s="382"/>
      <c r="N38" s="940">
        <f>'T1 wodociag 2022-2026'!N62+'T1 wodociag 2022-2026'!N85+'T2 kanalizacja 2022-2026'!N78+'T2 kanalizacja 2022-2026'!N88-'T2 kanalizacja 2022-2026'!N76</f>
        <v>23755</v>
      </c>
      <c r="O38" s="382"/>
      <c r="P38" s="1130"/>
      <c r="S38" s="994"/>
      <c r="T38" s="994"/>
      <c r="U38" s="994"/>
    </row>
    <row r="39" spans="2:22" ht="14.1" customHeight="1">
      <c r="B39" s="372">
        <v>2025</v>
      </c>
      <c r="C39" s="370"/>
      <c r="D39" s="370"/>
      <c r="E39" s="371"/>
      <c r="F39" s="371"/>
      <c r="G39" s="371"/>
      <c r="H39" s="371"/>
      <c r="I39" s="371"/>
      <c r="J39" s="371"/>
      <c r="K39" s="19"/>
      <c r="L39" s="19"/>
      <c r="M39" s="382"/>
      <c r="N39" s="974"/>
      <c r="O39" s="940">
        <f>'T1 wodociag 2022-2026'!Q62+'T1 wodociag 2022-2026'!Q85+'T2 kanalizacja 2022-2026'!Q78+'T2 kanalizacja 2022-2026'!Q88-'T2 kanalizacja 2022-2026'!Q76</f>
        <v>5300</v>
      </c>
      <c r="P39" s="1130"/>
      <c r="S39" s="994"/>
      <c r="T39" s="994"/>
      <c r="U39" s="994"/>
    </row>
    <row r="40" spans="2:22" ht="14.1" customHeight="1">
      <c r="B40" s="15" t="s">
        <v>454</v>
      </c>
      <c r="C40" s="370"/>
      <c r="D40" s="370"/>
      <c r="E40" s="374"/>
      <c r="F40" s="375">
        <f t="shared" ref="F40:O40" si="9">4.5%</f>
        <v>4.4999999999999998E-2</v>
      </c>
      <c r="G40" s="375">
        <f t="shared" si="9"/>
        <v>4.4999999999999998E-2</v>
      </c>
      <c r="H40" s="375">
        <f t="shared" si="9"/>
        <v>4.4999999999999998E-2</v>
      </c>
      <c r="I40" s="375">
        <f t="shared" si="9"/>
        <v>4.4999999999999998E-2</v>
      </c>
      <c r="J40" s="375">
        <f t="shared" si="9"/>
        <v>4.4999999999999998E-2</v>
      </c>
      <c r="K40" s="375">
        <f t="shared" si="9"/>
        <v>4.4999999999999998E-2</v>
      </c>
      <c r="L40" s="375">
        <f t="shared" si="9"/>
        <v>4.4999999999999998E-2</v>
      </c>
      <c r="M40" s="375">
        <f t="shared" si="9"/>
        <v>4.4999999999999998E-2</v>
      </c>
      <c r="N40" s="375">
        <f t="shared" si="9"/>
        <v>4.4999999999999998E-2</v>
      </c>
      <c r="O40" s="1134">
        <f t="shared" si="9"/>
        <v>4.4999999999999998E-2</v>
      </c>
      <c r="P40" s="1130"/>
      <c r="S40" s="994"/>
      <c r="T40" s="994"/>
      <c r="U40" s="994"/>
    </row>
    <row r="41" spans="2:22" ht="14.1" customHeight="1">
      <c r="B41" s="15" t="s">
        <v>457</v>
      </c>
      <c r="C41" s="370"/>
      <c r="D41" s="370"/>
      <c r="E41" s="371"/>
      <c r="F41" s="371">
        <f>E42*F54</f>
        <v>0</v>
      </c>
      <c r="G41" s="371">
        <f t="shared" ref="G41:O41" si="10">F42*G54</f>
        <v>0</v>
      </c>
      <c r="H41" s="371">
        <f t="shared" si="10"/>
        <v>0</v>
      </c>
      <c r="I41" s="371">
        <f t="shared" si="10"/>
        <v>0</v>
      </c>
      <c r="J41" s="371">
        <f t="shared" si="10"/>
        <v>0</v>
      </c>
      <c r="K41" s="371">
        <f t="shared" si="10"/>
        <v>0</v>
      </c>
      <c r="L41" s="371">
        <f t="shared" si="10"/>
        <v>0</v>
      </c>
      <c r="M41" s="371">
        <f t="shared" si="10"/>
        <v>122</v>
      </c>
      <c r="N41" s="371">
        <f t="shared" si="10"/>
        <v>122</v>
      </c>
      <c r="O41" s="382">
        <f t="shared" si="10"/>
        <v>122</v>
      </c>
      <c r="P41" s="1130"/>
      <c r="S41" s="994"/>
      <c r="T41" s="994"/>
      <c r="U41" s="994"/>
    </row>
    <row r="42" spans="2:22" ht="14.1" customHeight="1">
      <c r="B42" s="15" t="s">
        <v>453</v>
      </c>
      <c r="C42" s="370"/>
      <c r="D42" s="370"/>
      <c r="E42" s="19"/>
      <c r="F42" s="371">
        <f>E42+F44</f>
        <v>0</v>
      </c>
      <c r="G42" s="371">
        <f>F42+G45</f>
        <v>0</v>
      </c>
      <c r="H42" s="371">
        <f>G42+H46</f>
        <v>0</v>
      </c>
      <c r="I42" s="371">
        <f>H42+I47</f>
        <v>0</v>
      </c>
      <c r="J42" s="371">
        <f>I42+J48</f>
        <v>0</v>
      </c>
      <c r="K42" s="371">
        <f>J42+K49</f>
        <v>0</v>
      </c>
      <c r="L42" s="371">
        <f>K42+L50</f>
        <v>4881</v>
      </c>
      <c r="M42" s="371">
        <f>L42+M51</f>
        <v>4881</v>
      </c>
      <c r="N42" s="371">
        <f>M42+N52</f>
        <v>4881</v>
      </c>
      <c r="O42" s="382">
        <f>N42+O52</f>
        <v>4881</v>
      </c>
      <c r="P42" s="1130"/>
      <c r="S42" s="994"/>
      <c r="T42" s="994"/>
      <c r="U42" s="994"/>
    </row>
    <row r="43" spans="2:22" ht="14.1" customHeight="1">
      <c r="B43" s="372">
        <v>2015</v>
      </c>
      <c r="C43" s="370"/>
      <c r="D43" s="370"/>
      <c r="E43" s="19"/>
      <c r="F43" s="371"/>
      <c r="G43" s="371"/>
      <c r="H43" s="371"/>
      <c r="I43" s="371"/>
      <c r="J43" s="371"/>
      <c r="K43" s="371"/>
      <c r="L43" s="371"/>
      <c r="M43" s="382"/>
      <c r="N43" s="382"/>
      <c r="O43" s="382"/>
      <c r="P43" s="1130"/>
    </row>
    <row r="44" spans="2:22" ht="14.1" customHeight="1">
      <c r="B44" s="372">
        <v>2016</v>
      </c>
      <c r="C44" s="370"/>
      <c r="D44" s="370"/>
      <c r="E44" s="371"/>
      <c r="F44" s="670"/>
      <c r="G44" s="371"/>
      <c r="H44" s="371"/>
      <c r="I44" s="371"/>
      <c r="J44" s="371"/>
      <c r="K44" s="371"/>
      <c r="L44" s="371"/>
      <c r="M44" s="382"/>
      <c r="N44" s="382"/>
      <c r="O44" s="382"/>
      <c r="P44" s="1130"/>
    </row>
    <row r="45" spans="2:22" ht="14.1" customHeight="1">
      <c r="B45" s="372">
        <v>2017</v>
      </c>
      <c r="C45" s="370"/>
      <c r="D45" s="370"/>
      <c r="E45" s="371"/>
      <c r="F45" s="371"/>
      <c r="G45" s="670"/>
      <c r="H45" s="371"/>
      <c r="I45" s="371"/>
      <c r="J45" s="371"/>
      <c r="K45" s="371"/>
      <c r="L45" s="371"/>
      <c r="M45" s="382"/>
      <c r="N45" s="382"/>
      <c r="O45" s="382"/>
      <c r="P45" s="1130"/>
    </row>
    <row r="46" spans="2:22" ht="14.1" customHeight="1">
      <c r="B46" s="372">
        <v>2018</v>
      </c>
      <c r="C46" s="370"/>
      <c r="D46" s="370"/>
      <c r="E46" s="371"/>
      <c r="F46" s="371"/>
      <c r="G46" s="371"/>
      <c r="H46" s="670"/>
      <c r="I46" s="371"/>
      <c r="J46" s="371"/>
      <c r="K46" s="371"/>
      <c r="L46" s="371"/>
      <c r="M46" s="382"/>
      <c r="N46" s="382"/>
      <c r="O46" s="382"/>
      <c r="P46" s="1130"/>
    </row>
    <row r="47" spans="2:22" ht="14.1" customHeight="1">
      <c r="B47" s="372">
        <v>2019</v>
      </c>
      <c r="C47" s="370"/>
      <c r="D47" s="370"/>
      <c r="E47" s="371"/>
      <c r="F47" s="371"/>
      <c r="G47" s="371"/>
      <c r="H47" s="371"/>
      <c r="I47" s="670"/>
      <c r="J47" s="371"/>
      <c r="K47" s="371"/>
      <c r="L47" s="371"/>
      <c r="M47" s="382"/>
      <c r="N47" s="382"/>
      <c r="O47" s="382"/>
      <c r="P47" s="1130"/>
    </row>
    <row r="48" spans="2:22" ht="14.1" customHeight="1">
      <c r="B48" s="372">
        <v>2020</v>
      </c>
      <c r="C48" s="370"/>
      <c r="D48" s="370"/>
      <c r="E48" s="371"/>
      <c r="F48" s="371"/>
      <c r="G48" s="371"/>
      <c r="H48" s="371"/>
      <c r="I48" s="371"/>
      <c r="J48" s="670"/>
      <c r="K48" s="371"/>
      <c r="L48" s="371"/>
      <c r="M48" s="382"/>
      <c r="N48" s="382"/>
      <c r="O48" s="382"/>
      <c r="P48" s="1130"/>
    </row>
    <row r="49" spans="2:16" ht="14.1" customHeight="1">
      <c r="B49" s="372">
        <v>2021</v>
      </c>
      <c r="C49" s="370"/>
      <c r="D49" s="370"/>
      <c r="E49" s="371"/>
      <c r="F49" s="371"/>
      <c r="G49" s="371"/>
      <c r="H49" s="371"/>
      <c r="I49" s="371"/>
      <c r="J49" s="371"/>
      <c r="K49" s="937">
        <v>0</v>
      </c>
      <c r="L49" s="371"/>
      <c r="M49" s="382"/>
      <c r="N49" s="382"/>
      <c r="O49" s="382"/>
      <c r="P49" s="1130"/>
    </row>
    <row r="50" spans="2:16" ht="14.1" customHeight="1">
      <c r="B50" s="372">
        <v>2022</v>
      </c>
      <c r="C50" s="370"/>
      <c r="D50" s="370"/>
      <c r="E50" s="371"/>
      <c r="F50" s="371"/>
      <c r="G50" s="371"/>
      <c r="H50" s="371"/>
      <c r="I50" s="371"/>
      <c r="J50" s="371"/>
      <c r="K50" s="19"/>
      <c r="L50" s="937">
        <f>521+'T3 WPI 2022-2026'!F10+'T3 WPI 2022-2026'!I10+'T3 WPI 2022-2026'!J10</f>
        <v>4881</v>
      </c>
      <c r="M50" s="382"/>
      <c r="N50" s="382"/>
      <c r="O50" s="382"/>
      <c r="P50" s="1130"/>
    </row>
    <row r="51" spans="2:16" ht="14.1" customHeight="1">
      <c r="B51" s="372">
        <v>2023</v>
      </c>
      <c r="C51" s="370"/>
      <c r="D51" s="370"/>
      <c r="E51" s="371"/>
      <c r="F51" s="371"/>
      <c r="G51" s="371"/>
      <c r="H51" s="371"/>
      <c r="I51" s="371"/>
      <c r="J51" s="371"/>
      <c r="K51" s="19"/>
      <c r="L51" s="19"/>
      <c r="M51" s="940"/>
      <c r="N51" s="382"/>
      <c r="O51" s="382"/>
      <c r="P51" s="1130"/>
    </row>
    <row r="52" spans="2:16" ht="14.1" customHeight="1">
      <c r="B52" s="372">
        <v>2024</v>
      </c>
      <c r="C52" s="370"/>
      <c r="D52" s="370"/>
      <c r="E52" s="371"/>
      <c r="F52" s="371"/>
      <c r="G52" s="371"/>
      <c r="H52" s="371"/>
      <c r="I52" s="371"/>
      <c r="J52" s="371"/>
      <c r="K52" s="19"/>
      <c r="L52" s="19"/>
      <c r="M52" s="382"/>
      <c r="N52" s="940"/>
      <c r="O52" s="382"/>
      <c r="P52" s="1130"/>
    </row>
    <row r="53" spans="2:16" ht="14.1" customHeight="1">
      <c r="B53" s="372">
        <v>2025</v>
      </c>
      <c r="C53" s="370"/>
      <c r="D53" s="370"/>
      <c r="E53" s="371"/>
      <c r="F53" s="371"/>
      <c r="G53" s="371"/>
      <c r="H53" s="371"/>
      <c r="I53" s="371"/>
      <c r="J53" s="371"/>
      <c r="K53" s="19"/>
      <c r="L53" s="19"/>
      <c r="M53" s="382"/>
      <c r="N53" s="382"/>
      <c r="O53" s="940"/>
      <c r="P53" s="1130"/>
    </row>
    <row r="54" spans="2:16" ht="14.1" customHeight="1">
      <c r="B54" s="15" t="s">
        <v>454</v>
      </c>
      <c r="C54" s="370"/>
      <c r="D54" s="370"/>
      <c r="E54" s="374"/>
      <c r="F54" s="375">
        <v>2.5000000000000001E-2</v>
      </c>
      <c r="G54" s="375">
        <v>2.5000000000000001E-2</v>
      </c>
      <c r="H54" s="375">
        <v>2.5000000000000001E-2</v>
      </c>
      <c r="I54" s="375">
        <v>2.5000000000000001E-2</v>
      </c>
      <c r="J54" s="375">
        <v>2.5000000000000001E-2</v>
      </c>
      <c r="K54" s="375">
        <v>2.5000000000000001E-2</v>
      </c>
      <c r="L54" s="375">
        <v>2.5000000000000001E-2</v>
      </c>
      <c r="M54" s="375">
        <v>2.5000000000000001E-2</v>
      </c>
      <c r="N54" s="375">
        <v>2.5000000000000001E-2</v>
      </c>
      <c r="O54" s="1134">
        <v>2.5000000000000001E-2</v>
      </c>
      <c r="P54" s="1130"/>
    </row>
    <row r="55" spans="2:16" ht="14.1" customHeight="1">
      <c r="B55" s="15" t="s">
        <v>458</v>
      </c>
      <c r="C55" s="370"/>
      <c r="D55" s="370"/>
      <c r="E55" s="371"/>
      <c r="F55" s="371">
        <f>E56*F68</f>
        <v>0</v>
      </c>
      <c r="G55" s="371">
        <f t="shared" ref="G55:M55" si="11">F56*G68</f>
        <v>0</v>
      </c>
      <c r="H55" s="371">
        <f>G56*H68</f>
        <v>565</v>
      </c>
      <c r="I55" s="371">
        <f t="shared" si="11"/>
        <v>1674</v>
      </c>
      <c r="J55" s="371">
        <f>I56*J68</f>
        <v>1674</v>
      </c>
      <c r="K55" s="371">
        <f t="shared" si="11"/>
        <v>2692</v>
      </c>
      <c r="L55" s="371">
        <f t="shared" si="11"/>
        <v>3042</v>
      </c>
      <c r="M55" s="371">
        <f t="shared" si="11"/>
        <v>3470</v>
      </c>
      <c r="N55" s="371">
        <f>M56*N68</f>
        <v>3855</v>
      </c>
      <c r="O55" s="382">
        <f>N56*O68</f>
        <v>4036</v>
      </c>
      <c r="P55" s="1130"/>
    </row>
    <row r="56" spans="2:16" ht="14.1" customHeight="1">
      <c r="B56" s="15" t="s">
        <v>453</v>
      </c>
      <c r="C56" s="370"/>
      <c r="D56" s="370"/>
      <c r="E56" s="19"/>
      <c r="F56" s="371">
        <f>E56+F58</f>
        <v>0</v>
      </c>
      <c r="G56" s="371">
        <f>F56+G59</f>
        <v>12546</v>
      </c>
      <c r="H56" s="371">
        <f>G56+H60</f>
        <v>37209</v>
      </c>
      <c r="I56" s="371">
        <f>H56+I61</f>
        <v>37209</v>
      </c>
      <c r="J56" s="371">
        <f>I56+J62</f>
        <v>59824</v>
      </c>
      <c r="K56" s="371">
        <f>J56+K63</f>
        <v>67599</v>
      </c>
      <c r="L56" s="371">
        <f>K56+L64</f>
        <v>77119</v>
      </c>
      <c r="M56" s="371">
        <f>L56+M65</f>
        <v>85669</v>
      </c>
      <c r="N56" s="371">
        <f>M56+N66</f>
        <v>89684</v>
      </c>
      <c r="O56" s="382">
        <f>N56+O66</f>
        <v>89684</v>
      </c>
      <c r="P56" s="1130"/>
    </row>
    <row r="57" spans="2:16" ht="14.1" customHeight="1">
      <c r="B57" s="372">
        <v>2015</v>
      </c>
      <c r="C57" s="370"/>
      <c r="D57" s="370"/>
      <c r="E57" s="19"/>
      <c r="F57" s="371"/>
      <c r="G57" s="371"/>
      <c r="H57" s="371"/>
      <c r="I57" s="371"/>
      <c r="J57" s="371"/>
      <c r="K57" s="371"/>
      <c r="L57" s="371"/>
      <c r="M57" s="382"/>
      <c r="N57" s="382"/>
      <c r="O57" s="382"/>
      <c r="P57" s="1130"/>
    </row>
    <row r="58" spans="2:16" ht="14.1" customHeight="1">
      <c r="B58" s="372">
        <v>2016</v>
      </c>
      <c r="C58" s="370"/>
      <c r="D58" s="370"/>
      <c r="E58" s="19"/>
      <c r="F58" s="434">
        <f>7799*0</f>
        <v>0</v>
      </c>
      <c r="G58" s="384"/>
      <c r="H58" s="384"/>
      <c r="I58" s="371"/>
      <c r="J58" s="371"/>
      <c r="K58" s="371"/>
      <c r="L58" s="371"/>
      <c r="M58" s="382"/>
      <c r="N58" s="382"/>
      <c r="O58" s="382"/>
      <c r="P58" s="1130"/>
    </row>
    <row r="59" spans="2:16" ht="14.1" customHeight="1">
      <c r="B59" s="372">
        <v>2017</v>
      </c>
      <c r="C59" s="370"/>
      <c r="D59" s="370"/>
      <c r="E59" s="371"/>
      <c r="F59" s="384"/>
      <c r="G59" s="434">
        <f>12546</f>
        <v>12546</v>
      </c>
      <c r="H59" s="384"/>
      <c r="I59" s="371"/>
      <c r="J59" s="371"/>
      <c r="K59" s="371"/>
      <c r="L59" s="371"/>
      <c r="M59" s="382"/>
      <c r="N59" s="382"/>
      <c r="O59" s="382"/>
      <c r="P59" s="1130"/>
    </row>
    <row r="60" spans="2:16" ht="14.1" customHeight="1">
      <c r="B60" s="372">
        <v>2018</v>
      </c>
      <c r="C60" s="370"/>
      <c r="D60" s="370"/>
      <c r="E60" s="371"/>
      <c r="F60" s="384"/>
      <c r="G60" s="384"/>
      <c r="H60" s="434">
        <f>1595+3370+19698</f>
        <v>24663</v>
      </c>
      <c r="I60" s="371"/>
      <c r="J60" s="371"/>
      <c r="K60" s="371"/>
      <c r="L60" s="371"/>
      <c r="M60" s="382"/>
      <c r="N60" s="382"/>
      <c r="O60" s="382"/>
      <c r="P60" s="1130"/>
    </row>
    <row r="61" spans="2:16" ht="14.1" customHeight="1">
      <c r="B61" s="372">
        <v>2019</v>
      </c>
      <c r="C61" s="370"/>
      <c r="D61" s="370"/>
      <c r="E61" s="371"/>
      <c r="F61" s="371"/>
      <c r="G61" s="371"/>
      <c r="H61" s="371"/>
      <c r="I61" s="860">
        <f>9543*0</f>
        <v>0</v>
      </c>
      <c r="J61" s="371"/>
      <c r="K61" s="371"/>
      <c r="L61" s="371"/>
      <c r="M61" s="382"/>
      <c r="N61" s="382"/>
      <c r="O61" s="382"/>
      <c r="P61" s="1130"/>
    </row>
    <row r="62" spans="2:16" ht="14.1" customHeight="1">
      <c r="B62" s="372">
        <v>2020</v>
      </c>
      <c r="C62" s="370"/>
      <c r="D62" s="370"/>
      <c r="E62" s="371"/>
      <c r="F62" s="371"/>
      <c r="G62" s="371"/>
      <c r="H62" s="371"/>
      <c r="I62" s="371"/>
      <c r="J62" s="937">
        <v>22615</v>
      </c>
      <c r="K62" s="371"/>
      <c r="L62" s="371"/>
      <c r="M62" s="382"/>
      <c r="N62" s="382"/>
      <c r="O62" s="382"/>
      <c r="P62" s="1130"/>
    </row>
    <row r="63" spans="2:16" ht="14.1" customHeight="1">
      <c r="B63" s="372">
        <v>2021</v>
      </c>
      <c r="C63" s="370"/>
      <c r="D63" s="370"/>
      <c r="E63" s="371"/>
      <c r="F63" s="371"/>
      <c r="G63" s="371"/>
      <c r="H63" s="371"/>
      <c r="I63" s="371"/>
      <c r="J63" s="371"/>
      <c r="K63" s="938">
        <f>'T1 wodociag 2022-2026'!E95+'T2 kanalizacja 2022-2026'!E100+'T3 WPI 2022-2026'!H41</f>
        <v>7775</v>
      </c>
      <c r="L63" s="371"/>
      <c r="M63" s="382"/>
      <c r="N63" s="382"/>
      <c r="O63" s="382"/>
      <c r="P63" s="1130"/>
    </row>
    <row r="64" spans="2:16" ht="14.1" customHeight="1">
      <c r="B64" s="372">
        <v>2022</v>
      </c>
      <c r="C64" s="370"/>
      <c r="D64" s="370"/>
      <c r="E64" s="371"/>
      <c r="F64" s="371"/>
      <c r="G64" s="371"/>
      <c r="H64" s="371"/>
      <c r="I64" s="371"/>
      <c r="J64" s="371"/>
      <c r="K64" s="19"/>
      <c r="L64" s="937">
        <f>'T1 wodociag 2022-2026'!H95+'T2 kanalizacja 2022-2026'!H100+'T3 WPI 2022-2026'!K41</f>
        <v>9520</v>
      </c>
      <c r="M64" s="382"/>
      <c r="N64" s="382"/>
      <c r="O64" s="382"/>
      <c r="P64" s="1130"/>
    </row>
    <row r="65" spans="2:28" ht="14.1" customHeight="1">
      <c r="B65" s="372">
        <v>2023</v>
      </c>
      <c r="C65" s="370"/>
      <c r="D65" s="370"/>
      <c r="E65" s="371"/>
      <c r="F65" s="371"/>
      <c r="G65" s="371"/>
      <c r="H65" s="371"/>
      <c r="I65" s="371"/>
      <c r="J65" s="371"/>
      <c r="K65" s="19"/>
      <c r="L65" s="19"/>
      <c r="M65" s="939">
        <f>'T1 wodociag 2022-2026'!K95+'T2 kanalizacja 2022-2026'!K100+'T3 WPI 2022-2026'!N41</f>
        <v>8550</v>
      </c>
      <c r="N65" s="382"/>
      <c r="O65" s="382"/>
      <c r="P65" s="1130"/>
    </row>
    <row r="66" spans="2:28" ht="14.1" customHeight="1">
      <c r="B66" s="372">
        <v>2024</v>
      </c>
      <c r="C66" s="370"/>
      <c r="D66" s="370"/>
      <c r="E66" s="371"/>
      <c r="F66" s="371"/>
      <c r="G66" s="371"/>
      <c r="H66" s="371"/>
      <c r="I66" s="371"/>
      <c r="J66" s="371"/>
      <c r="K66" s="19"/>
      <c r="L66" s="19"/>
      <c r="M66" s="382"/>
      <c r="N66" s="937">
        <f>'T1 wodociag 2022-2026'!N95+'T2 kanalizacja 2022-2026'!O100</f>
        <v>4015</v>
      </c>
      <c r="O66" s="382"/>
      <c r="P66" s="1130"/>
    </row>
    <row r="67" spans="2:28" ht="14.1" customHeight="1">
      <c r="B67" s="372">
        <v>2025</v>
      </c>
      <c r="C67" s="370"/>
      <c r="D67" s="370"/>
      <c r="E67" s="371"/>
      <c r="F67" s="371"/>
      <c r="G67" s="371"/>
      <c r="H67" s="371"/>
      <c r="I67" s="371"/>
      <c r="J67" s="371"/>
      <c r="K67" s="19"/>
      <c r="L67" s="19"/>
      <c r="M67" s="382"/>
      <c r="N67" s="834"/>
      <c r="O67" s="940">
        <f>'T1 wodociag 2022-2026'!Q95+'T2 kanalizacja 2022-2026'!R100</f>
        <v>7850</v>
      </c>
      <c r="P67" s="1130"/>
    </row>
    <row r="68" spans="2:28" ht="14.1" customHeight="1">
      <c r="B68" s="15" t="s">
        <v>454</v>
      </c>
      <c r="C68" s="370"/>
      <c r="D68" s="370"/>
      <c r="E68" s="374"/>
      <c r="F68" s="375">
        <v>4.4999999999999998E-2</v>
      </c>
      <c r="G68" s="375">
        <v>4.4999999999999998E-2</v>
      </c>
      <c r="H68" s="375">
        <v>4.4999999999999998E-2</v>
      </c>
      <c r="I68" s="375">
        <v>4.4999999999999998E-2</v>
      </c>
      <c r="J68" s="375">
        <v>4.4999999999999998E-2</v>
      </c>
      <c r="K68" s="375">
        <v>4.4999999999999998E-2</v>
      </c>
      <c r="L68" s="375">
        <v>4.4999999999999998E-2</v>
      </c>
      <c r="M68" s="375">
        <v>4.4999999999999998E-2</v>
      </c>
      <c r="N68" s="375">
        <v>4.4999999999999998E-2</v>
      </c>
      <c r="O68" s="1134">
        <v>4.4999999999999998E-2</v>
      </c>
      <c r="P68" s="1130"/>
    </row>
    <row r="69" spans="2:28" ht="14.1" customHeight="1">
      <c r="B69" s="377"/>
      <c r="C69" s="378"/>
      <c r="D69" s="378"/>
      <c r="E69" s="379"/>
      <c r="F69" s="378"/>
      <c r="G69" s="378"/>
      <c r="H69" s="378"/>
      <c r="I69" s="378"/>
      <c r="J69" s="378"/>
      <c r="K69" s="378"/>
      <c r="L69" s="378"/>
      <c r="M69" s="383"/>
      <c r="N69" s="383"/>
      <c r="O69" s="383"/>
      <c r="P69" s="1130"/>
    </row>
    <row r="71" spans="2:28" s="380" customFormat="1">
      <c r="B71" s="381" t="s">
        <v>459</v>
      </c>
      <c r="Q71" s="998"/>
      <c r="R71" s="998"/>
      <c r="S71" s="998"/>
      <c r="T71" s="998"/>
      <c r="U71" s="998"/>
      <c r="V71" s="998"/>
      <c r="W71" s="998"/>
      <c r="X71" s="998"/>
      <c r="Y71" s="998"/>
      <c r="Z71" s="998"/>
      <c r="AA71" s="998"/>
      <c r="AB71" s="998"/>
    </row>
    <row r="72" spans="2:28">
      <c r="N72" s="1692"/>
      <c r="O72" s="1693"/>
    </row>
  </sheetData>
  <mergeCells count="2">
    <mergeCell ref="W24:W25"/>
    <mergeCell ref="N72:O72"/>
  </mergeCells>
  <phoneticPr fontId="6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80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B1" workbookViewId="0">
      <selection activeCell="S18" sqref="S18"/>
    </sheetView>
  </sheetViews>
  <sheetFormatPr defaultRowHeight="12.75"/>
  <cols>
    <col min="1" max="1" width="28.28515625" customWidth="1"/>
  </cols>
  <sheetData>
    <row r="1" spans="1:19" ht="12.75" customHeight="1">
      <c r="A1" s="1696" t="s">
        <v>710</v>
      </c>
      <c r="B1" s="1697"/>
      <c r="C1" s="1700">
        <v>2020</v>
      </c>
      <c r="D1" s="1694">
        <v>2021</v>
      </c>
      <c r="E1" s="1694">
        <v>2022</v>
      </c>
      <c r="F1" s="1694">
        <v>2023</v>
      </c>
      <c r="G1" s="1694">
        <v>2024</v>
      </c>
    </row>
    <row r="2" spans="1:19" ht="13.5" thickBot="1">
      <c r="A2" s="1698" t="s">
        <v>711</v>
      </c>
      <c r="B2" s="1699"/>
      <c r="C2" s="1701"/>
      <c r="D2" s="1695"/>
      <c r="E2" s="1695"/>
      <c r="F2" s="1695"/>
      <c r="G2" s="1695"/>
    </row>
    <row r="3" spans="1:19" ht="13.5" thickBot="1">
      <c r="A3" s="888" t="s">
        <v>23</v>
      </c>
      <c r="B3" s="889">
        <v>212868</v>
      </c>
      <c r="C3" s="889">
        <v>94089</v>
      </c>
      <c r="D3" s="889">
        <v>38289</v>
      </c>
      <c r="E3" s="889">
        <v>28228</v>
      </c>
      <c r="F3" s="889">
        <v>43482</v>
      </c>
      <c r="G3" s="889">
        <v>8780</v>
      </c>
      <c r="H3" s="505">
        <f>C3+D3+E3+F3+G3</f>
        <v>212868</v>
      </c>
      <c r="I3" s="505">
        <f>H3-B3</f>
        <v>0</v>
      </c>
    </row>
    <row r="4" spans="1:19" ht="13.5" thickBot="1">
      <c r="A4" s="890" t="s">
        <v>477</v>
      </c>
      <c r="B4" s="889">
        <v>95590</v>
      </c>
      <c r="C4" s="889">
        <v>30762</v>
      </c>
      <c r="D4" s="889">
        <v>26839</v>
      </c>
      <c r="E4" s="889">
        <v>16192</v>
      </c>
      <c r="F4" s="889">
        <v>13017</v>
      </c>
      <c r="G4" s="889">
        <v>8780</v>
      </c>
      <c r="H4" s="505">
        <f t="shared" ref="H4:H6" si="0">C4+D4+E4+F4+G4</f>
        <v>95590</v>
      </c>
      <c r="I4" s="505">
        <f t="shared" ref="I4:I6" si="1">H4-B4</f>
        <v>0</v>
      </c>
    </row>
    <row r="5" spans="1:19" ht="13.5" thickBot="1">
      <c r="A5" s="890" t="s">
        <v>478</v>
      </c>
      <c r="B5" s="889">
        <v>43115</v>
      </c>
      <c r="C5" s="889">
        <v>23533</v>
      </c>
      <c r="D5" s="889">
        <v>6382</v>
      </c>
      <c r="E5" s="891">
        <v>0</v>
      </c>
      <c r="F5" s="889">
        <v>13200</v>
      </c>
      <c r="G5" s="891">
        <v>0</v>
      </c>
      <c r="H5" s="505">
        <f t="shared" si="0"/>
        <v>43115</v>
      </c>
      <c r="I5" s="505">
        <f t="shared" si="1"/>
        <v>0</v>
      </c>
    </row>
    <row r="6" spans="1:19" ht="13.5" thickBot="1">
      <c r="A6" s="890" t="s">
        <v>479</v>
      </c>
      <c r="B6" s="889">
        <v>74163</v>
      </c>
      <c r="C6" s="889">
        <v>39794</v>
      </c>
      <c r="D6" s="889">
        <v>5068</v>
      </c>
      <c r="E6" s="889">
        <v>12036</v>
      </c>
      <c r="F6" s="889">
        <v>17265</v>
      </c>
      <c r="G6" s="891">
        <v>0</v>
      </c>
      <c r="H6" s="505">
        <f t="shared" si="0"/>
        <v>74163</v>
      </c>
      <c r="I6" s="505">
        <f t="shared" si="1"/>
        <v>0</v>
      </c>
    </row>
    <row r="7" spans="1:19">
      <c r="B7" s="505">
        <f>B4+B5+B6</f>
        <v>212868</v>
      </c>
      <c r="C7" s="505">
        <f t="shared" ref="C7:G7" si="2">C4+C5+C6</f>
        <v>94089</v>
      </c>
      <c r="D7" s="505">
        <f t="shared" si="2"/>
        <v>38289</v>
      </c>
      <c r="E7" s="505">
        <f t="shared" si="2"/>
        <v>28228</v>
      </c>
      <c r="F7" s="505">
        <f t="shared" si="2"/>
        <v>43482</v>
      </c>
      <c r="G7" s="505">
        <f t="shared" si="2"/>
        <v>8780</v>
      </c>
    </row>
    <row r="8" spans="1:19">
      <c r="B8" s="505">
        <f>B3-B7</f>
        <v>0</v>
      </c>
      <c r="C8" s="505">
        <f t="shared" ref="C8:G8" si="3">C3-C7</f>
        <v>0</v>
      </c>
      <c r="D8" s="505">
        <f t="shared" si="3"/>
        <v>0</v>
      </c>
      <c r="E8" s="505">
        <f t="shared" si="3"/>
        <v>0</v>
      </c>
      <c r="F8" s="505">
        <f t="shared" si="3"/>
        <v>0</v>
      </c>
      <c r="G8" s="505">
        <f t="shared" si="3"/>
        <v>0</v>
      </c>
    </row>
    <row r="11" spans="1:19" ht="13.5" thickBot="1"/>
    <row r="12" spans="1:19" ht="77.25" thickBot="1">
      <c r="K12" s="892" t="s">
        <v>698</v>
      </c>
      <c r="L12" s="893" t="s">
        <v>23</v>
      </c>
      <c r="M12" s="894">
        <v>2020</v>
      </c>
      <c r="N12" s="893">
        <v>2021</v>
      </c>
      <c r="O12" s="893">
        <v>2022</v>
      </c>
      <c r="P12" s="893">
        <v>2023</v>
      </c>
      <c r="Q12" s="893">
        <v>2024</v>
      </c>
    </row>
    <row r="13" spans="1:19" ht="51.75" thickBot="1">
      <c r="K13" s="895" t="s">
        <v>207</v>
      </c>
      <c r="L13" s="896">
        <v>50589</v>
      </c>
      <c r="M13" s="889">
        <v>14641</v>
      </c>
      <c r="N13" s="889">
        <v>16388</v>
      </c>
      <c r="O13" s="889">
        <v>9305</v>
      </c>
      <c r="P13" s="889">
        <v>7125</v>
      </c>
      <c r="Q13" s="889">
        <v>3130</v>
      </c>
      <c r="R13" s="505">
        <f>+M13+N13+O13+P13+Q13</f>
        <v>50589</v>
      </c>
      <c r="S13" s="505">
        <f>L13-R13</f>
        <v>0</v>
      </c>
    </row>
    <row r="14" spans="1:19" ht="51.75" thickBot="1">
      <c r="K14" s="895" t="s">
        <v>110</v>
      </c>
      <c r="L14" s="896">
        <v>162279</v>
      </c>
      <c r="M14" s="889">
        <v>79448</v>
      </c>
      <c r="N14" s="889">
        <v>21901</v>
      </c>
      <c r="O14" s="889">
        <v>18923</v>
      </c>
      <c r="P14" s="889">
        <v>36357</v>
      </c>
      <c r="Q14" s="889">
        <v>5650</v>
      </c>
      <c r="R14" s="505">
        <f>+M14+N14+O14+P14+Q14</f>
        <v>162279</v>
      </c>
      <c r="S14" s="505">
        <f>L14-R14</f>
        <v>0</v>
      </c>
    </row>
    <row r="15" spans="1:19" ht="13.5" thickBot="1">
      <c r="K15" s="897" t="s">
        <v>15</v>
      </c>
      <c r="L15" s="896">
        <v>212868</v>
      </c>
      <c r="M15" s="896">
        <v>94089</v>
      </c>
      <c r="N15" s="896">
        <v>38289</v>
      </c>
      <c r="O15" s="896">
        <v>28228</v>
      </c>
      <c r="P15" s="896">
        <v>43482</v>
      </c>
      <c r="Q15" s="896">
        <v>8780</v>
      </c>
    </row>
    <row r="16" spans="1:19">
      <c r="L16" s="505">
        <f>L13+L14</f>
        <v>212868</v>
      </c>
      <c r="M16" s="505">
        <f t="shared" ref="M16:Q16" si="4">M13+M14</f>
        <v>94089</v>
      </c>
      <c r="N16" s="505">
        <f t="shared" si="4"/>
        <v>38289</v>
      </c>
      <c r="O16" s="505">
        <f t="shared" si="4"/>
        <v>28228</v>
      </c>
      <c r="P16" s="505">
        <f t="shared" si="4"/>
        <v>43482</v>
      </c>
      <c r="Q16" s="505">
        <f t="shared" si="4"/>
        <v>8780</v>
      </c>
    </row>
    <row r="17" spans="12:17">
      <c r="L17" s="505">
        <f>L15-L16</f>
        <v>0</v>
      </c>
      <c r="M17" s="505">
        <f t="shared" ref="M17:Q17" si="5">M15-M16</f>
        <v>0</v>
      </c>
      <c r="N17" s="505">
        <f t="shared" si="5"/>
        <v>0</v>
      </c>
      <c r="O17" s="505">
        <f t="shared" si="5"/>
        <v>0</v>
      </c>
      <c r="P17" s="505">
        <f t="shared" si="5"/>
        <v>0</v>
      </c>
      <c r="Q17" s="505">
        <f t="shared" si="5"/>
        <v>0</v>
      </c>
    </row>
  </sheetData>
  <mergeCells count="7">
    <mergeCell ref="G1:G2"/>
    <mergeCell ref="A1:B1"/>
    <mergeCell ref="A2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AG526"/>
  <sheetViews>
    <sheetView zoomScaleNormal="100" zoomScaleSheetLayoutView="75" workbookViewId="0">
      <pane xSplit="3" ySplit="5" topLeftCell="D33" activePane="bottomRight" state="frozen"/>
      <selection pane="topRight" activeCell="C1" sqref="C1"/>
      <selection pane="bottomLeft" activeCell="A6" sqref="A6"/>
      <selection pane="bottomRight" activeCell="I43" sqref="I43"/>
    </sheetView>
  </sheetViews>
  <sheetFormatPr defaultRowHeight="12.75" outlineLevelRow="1" outlineLevelCol="1"/>
  <cols>
    <col min="1" max="1" width="0.85546875" style="449" customWidth="1"/>
    <col min="2" max="2" width="3.42578125" style="449" customWidth="1"/>
    <col min="3" max="3" width="63.85546875" style="449" customWidth="1"/>
    <col min="4" max="4" width="11.140625" style="449" bestFit="1" customWidth="1"/>
    <col min="5" max="5" width="8.42578125" style="449" bestFit="1" customWidth="1"/>
    <col min="6" max="6" width="7.5703125" style="449" bestFit="1" customWidth="1"/>
    <col min="7" max="7" width="8.42578125" style="449" bestFit="1" customWidth="1"/>
    <col min="8" max="8" width="9.42578125" style="482" bestFit="1" customWidth="1"/>
    <col min="9" max="10" width="9.140625" style="482" bestFit="1" customWidth="1"/>
    <col min="11" max="11" width="10.5703125" style="482" bestFit="1" customWidth="1"/>
    <col min="12" max="14" width="10.140625" style="482" bestFit="1" customWidth="1"/>
    <col min="15" max="15" width="9.28515625" style="482" bestFit="1" customWidth="1"/>
    <col min="16" max="17" width="10.140625" style="482" bestFit="1" customWidth="1"/>
    <col min="18" max="18" width="9.140625" style="482" bestFit="1" customWidth="1"/>
    <col min="19" max="20" width="10.140625" style="482" bestFit="1" customWidth="1"/>
    <col min="21" max="21" width="9.140625" style="482" bestFit="1" customWidth="1"/>
    <col min="22" max="22" width="10.140625" style="482" bestFit="1" customWidth="1"/>
    <col min="23" max="23" width="10.140625" style="482" bestFit="1" customWidth="1" outlineLevel="1"/>
    <col min="24" max="24" width="9.140625" style="482" bestFit="1" customWidth="1" outlineLevel="1"/>
    <col min="25" max="25" width="10.140625" style="482" bestFit="1" customWidth="1" outlineLevel="1"/>
    <col min="26" max="26" width="7.42578125" style="482" customWidth="1" outlineLevel="1"/>
    <col min="27" max="27" width="7.5703125" style="482" bestFit="1" customWidth="1" outlineLevel="1"/>
    <col min="28" max="28" width="7.42578125" style="482" customWidth="1" outlineLevel="1"/>
    <col min="29" max="29" width="0.7109375" style="449" customWidth="1"/>
    <col min="30" max="30" width="7.5703125" style="449" bestFit="1" customWidth="1"/>
    <col min="31" max="31" width="6.5703125" style="449" bestFit="1" customWidth="1"/>
    <col min="32" max="32" width="10.140625" style="449" bestFit="1" customWidth="1"/>
    <col min="33" max="256" width="9.140625" style="449"/>
    <col min="257" max="257" width="0.85546875" style="449" customWidth="1"/>
    <col min="258" max="258" width="3.42578125" style="449" customWidth="1"/>
    <col min="259" max="259" width="63.85546875" style="449" customWidth="1"/>
    <col min="260" max="260" width="11.140625" style="449" bestFit="1" customWidth="1"/>
    <col min="261" max="261" width="8.42578125" style="449" bestFit="1" customWidth="1"/>
    <col min="262" max="262" width="7.5703125" style="449" bestFit="1" customWidth="1"/>
    <col min="263" max="263" width="8.42578125" style="449" bestFit="1" customWidth="1"/>
    <col min="264" max="264" width="9.42578125" style="449" bestFit="1" customWidth="1"/>
    <col min="265" max="266" width="9.140625" style="449" bestFit="1" customWidth="1"/>
    <col min="267" max="267" width="10.5703125" style="449" bestFit="1" customWidth="1"/>
    <col min="268" max="270" width="10.140625" style="449" bestFit="1" customWidth="1"/>
    <col min="271" max="271" width="9.28515625" style="449" bestFit="1" customWidth="1"/>
    <col min="272" max="273" width="10.140625" style="449" bestFit="1" customWidth="1"/>
    <col min="274" max="274" width="9.140625" style="449" bestFit="1" customWidth="1"/>
    <col min="275" max="276" width="10.140625" style="449" bestFit="1" customWidth="1"/>
    <col min="277" max="277" width="9.140625" style="449" bestFit="1" customWidth="1"/>
    <col min="278" max="279" width="10.140625" style="449" bestFit="1" customWidth="1"/>
    <col min="280" max="280" width="9.140625" style="449" bestFit="1" customWidth="1"/>
    <col min="281" max="281" width="10.140625" style="449" bestFit="1" customWidth="1"/>
    <col min="282" max="282" width="7.42578125" style="449" customWidth="1"/>
    <col min="283" max="283" width="7.5703125" style="449" bestFit="1" customWidth="1"/>
    <col min="284" max="284" width="7.42578125" style="449" customWidth="1"/>
    <col min="285" max="285" width="0.7109375" style="449" customWidth="1"/>
    <col min="286" max="286" width="7.5703125" style="449" bestFit="1" customWidth="1"/>
    <col min="287" max="287" width="6.5703125" style="449" bestFit="1" customWidth="1"/>
    <col min="288" max="288" width="10.140625" style="449" bestFit="1" customWidth="1"/>
    <col min="289" max="512" width="9.140625" style="449"/>
    <col min="513" max="513" width="0.85546875" style="449" customWidth="1"/>
    <col min="514" max="514" width="3.42578125" style="449" customWidth="1"/>
    <col min="515" max="515" width="63.85546875" style="449" customWidth="1"/>
    <col min="516" max="516" width="11.140625" style="449" bestFit="1" customWidth="1"/>
    <col min="517" max="517" width="8.42578125" style="449" bestFit="1" customWidth="1"/>
    <col min="518" max="518" width="7.5703125" style="449" bestFit="1" customWidth="1"/>
    <col min="519" max="519" width="8.42578125" style="449" bestFit="1" customWidth="1"/>
    <col min="520" max="520" width="9.42578125" style="449" bestFit="1" customWidth="1"/>
    <col min="521" max="522" width="9.140625" style="449" bestFit="1" customWidth="1"/>
    <col min="523" max="523" width="10.5703125" style="449" bestFit="1" customWidth="1"/>
    <col min="524" max="526" width="10.140625" style="449" bestFit="1" customWidth="1"/>
    <col min="527" max="527" width="9.28515625" style="449" bestFit="1" customWidth="1"/>
    <col min="528" max="529" width="10.140625" style="449" bestFit="1" customWidth="1"/>
    <col min="530" max="530" width="9.140625" style="449" bestFit="1" customWidth="1"/>
    <col min="531" max="532" width="10.140625" style="449" bestFit="1" customWidth="1"/>
    <col min="533" max="533" width="9.140625" style="449" bestFit="1" customWidth="1"/>
    <col min="534" max="535" width="10.140625" style="449" bestFit="1" customWidth="1"/>
    <col min="536" max="536" width="9.140625" style="449" bestFit="1" customWidth="1"/>
    <col min="537" max="537" width="10.140625" style="449" bestFit="1" customWidth="1"/>
    <col min="538" max="538" width="7.42578125" style="449" customWidth="1"/>
    <col min="539" max="539" width="7.5703125" style="449" bestFit="1" customWidth="1"/>
    <col min="540" max="540" width="7.42578125" style="449" customWidth="1"/>
    <col min="541" max="541" width="0.7109375" style="449" customWidth="1"/>
    <col min="542" max="542" width="7.5703125" style="449" bestFit="1" customWidth="1"/>
    <col min="543" max="543" width="6.5703125" style="449" bestFit="1" customWidth="1"/>
    <col min="544" max="544" width="10.140625" style="449" bestFit="1" customWidth="1"/>
    <col min="545" max="768" width="9.140625" style="449"/>
    <col min="769" max="769" width="0.85546875" style="449" customWidth="1"/>
    <col min="770" max="770" width="3.42578125" style="449" customWidth="1"/>
    <col min="771" max="771" width="63.85546875" style="449" customWidth="1"/>
    <col min="772" max="772" width="11.140625" style="449" bestFit="1" customWidth="1"/>
    <col min="773" max="773" width="8.42578125" style="449" bestFit="1" customWidth="1"/>
    <col min="774" max="774" width="7.5703125" style="449" bestFit="1" customWidth="1"/>
    <col min="775" max="775" width="8.42578125" style="449" bestFit="1" customWidth="1"/>
    <col min="776" max="776" width="9.42578125" style="449" bestFit="1" customWidth="1"/>
    <col min="777" max="778" width="9.140625" style="449" bestFit="1" customWidth="1"/>
    <col min="779" max="779" width="10.5703125" style="449" bestFit="1" customWidth="1"/>
    <col min="780" max="782" width="10.140625" style="449" bestFit="1" customWidth="1"/>
    <col min="783" max="783" width="9.28515625" style="449" bestFit="1" customWidth="1"/>
    <col min="784" max="785" width="10.140625" style="449" bestFit="1" customWidth="1"/>
    <col min="786" max="786" width="9.140625" style="449" bestFit="1" customWidth="1"/>
    <col min="787" max="788" width="10.140625" style="449" bestFit="1" customWidth="1"/>
    <col min="789" max="789" width="9.140625" style="449" bestFit="1" customWidth="1"/>
    <col min="790" max="791" width="10.140625" style="449" bestFit="1" customWidth="1"/>
    <col min="792" max="792" width="9.140625" style="449" bestFit="1" customWidth="1"/>
    <col min="793" max="793" width="10.140625" style="449" bestFit="1" customWidth="1"/>
    <col min="794" max="794" width="7.42578125" style="449" customWidth="1"/>
    <col min="795" max="795" width="7.5703125" style="449" bestFit="1" customWidth="1"/>
    <col min="796" max="796" width="7.42578125" style="449" customWidth="1"/>
    <col min="797" max="797" width="0.7109375" style="449" customWidth="1"/>
    <col min="798" max="798" width="7.5703125" style="449" bestFit="1" customWidth="1"/>
    <col min="799" max="799" width="6.5703125" style="449" bestFit="1" customWidth="1"/>
    <col min="800" max="800" width="10.140625" style="449" bestFit="1" customWidth="1"/>
    <col min="801" max="1024" width="9.140625" style="449"/>
    <col min="1025" max="1025" width="0.85546875" style="449" customWidth="1"/>
    <col min="1026" max="1026" width="3.42578125" style="449" customWidth="1"/>
    <col min="1027" max="1027" width="63.85546875" style="449" customWidth="1"/>
    <col min="1028" max="1028" width="11.140625" style="449" bestFit="1" customWidth="1"/>
    <col min="1029" max="1029" width="8.42578125" style="449" bestFit="1" customWidth="1"/>
    <col min="1030" max="1030" width="7.5703125" style="449" bestFit="1" customWidth="1"/>
    <col min="1031" max="1031" width="8.42578125" style="449" bestFit="1" customWidth="1"/>
    <col min="1032" max="1032" width="9.42578125" style="449" bestFit="1" customWidth="1"/>
    <col min="1033" max="1034" width="9.140625" style="449" bestFit="1" customWidth="1"/>
    <col min="1035" max="1035" width="10.5703125" style="449" bestFit="1" customWidth="1"/>
    <col min="1036" max="1038" width="10.140625" style="449" bestFit="1" customWidth="1"/>
    <col min="1039" max="1039" width="9.28515625" style="449" bestFit="1" customWidth="1"/>
    <col min="1040" max="1041" width="10.140625" style="449" bestFit="1" customWidth="1"/>
    <col min="1042" max="1042" width="9.140625" style="449" bestFit="1" customWidth="1"/>
    <col min="1043" max="1044" width="10.140625" style="449" bestFit="1" customWidth="1"/>
    <col min="1045" max="1045" width="9.140625" style="449" bestFit="1" customWidth="1"/>
    <col min="1046" max="1047" width="10.140625" style="449" bestFit="1" customWidth="1"/>
    <col min="1048" max="1048" width="9.140625" style="449" bestFit="1" customWidth="1"/>
    <col min="1049" max="1049" width="10.140625" style="449" bestFit="1" customWidth="1"/>
    <col min="1050" max="1050" width="7.42578125" style="449" customWidth="1"/>
    <col min="1051" max="1051" width="7.5703125" style="449" bestFit="1" customWidth="1"/>
    <col min="1052" max="1052" width="7.42578125" style="449" customWidth="1"/>
    <col min="1053" max="1053" width="0.7109375" style="449" customWidth="1"/>
    <col min="1054" max="1054" width="7.5703125" style="449" bestFit="1" customWidth="1"/>
    <col min="1055" max="1055" width="6.5703125" style="449" bestFit="1" customWidth="1"/>
    <col min="1056" max="1056" width="10.140625" style="449" bestFit="1" customWidth="1"/>
    <col min="1057" max="1280" width="9.140625" style="449"/>
    <col min="1281" max="1281" width="0.85546875" style="449" customWidth="1"/>
    <col min="1282" max="1282" width="3.42578125" style="449" customWidth="1"/>
    <col min="1283" max="1283" width="63.85546875" style="449" customWidth="1"/>
    <col min="1284" max="1284" width="11.140625" style="449" bestFit="1" customWidth="1"/>
    <col min="1285" max="1285" width="8.42578125" style="449" bestFit="1" customWidth="1"/>
    <col min="1286" max="1286" width="7.5703125" style="449" bestFit="1" customWidth="1"/>
    <col min="1287" max="1287" width="8.42578125" style="449" bestFit="1" customWidth="1"/>
    <col min="1288" max="1288" width="9.42578125" style="449" bestFit="1" customWidth="1"/>
    <col min="1289" max="1290" width="9.140625" style="449" bestFit="1" customWidth="1"/>
    <col min="1291" max="1291" width="10.5703125" style="449" bestFit="1" customWidth="1"/>
    <col min="1292" max="1294" width="10.140625" style="449" bestFit="1" customWidth="1"/>
    <col min="1295" max="1295" width="9.28515625" style="449" bestFit="1" customWidth="1"/>
    <col min="1296" max="1297" width="10.140625" style="449" bestFit="1" customWidth="1"/>
    <col min="1298" max="1298" width="9.140625" style="449" bestFit="1" customWidth="1"/>
    <col min="1299" max="1300" width="10.140625" style="449" bestFit="1" customWidth="1"/>
    <col min="1301" max="1301" width="9.140625" style="449" bestFit="1" customWidth="1"/>
    <col min="1302" max="1303" width="10.140625" style="449" bestFit="1" customWidth="1"/>
    <col min="1304" max="1304" width="9.140625" style="449" bestFit="1" customWidth="1"/>
    <col min="1305" max="1305" width="10.140625" style="449" bestFit="1" customWidth="1"/>
    <col min="1306" max="1306" width="7.42578125" style="449" customWidth="1"/>
    <col min="1307" max="1307" width="7.5703125" style="449" bestFit="1" customWidth="1"/>
    <col min="1308" max="1308" width="7.42578125" style="449" customWidth="1"/>
    <col min="1309" max="1309" width="0.7109375" style="449" customWidth="1"/>
    <col min="1310" max="1310" width="7.5703125" style="449" bestFit="1" customWidth="1"/>
    <col min="1311" max="1311" width="6.5703125" style="449" bestFit="1" customWidth="1"/>
    <col min="1312" max="1312" width="10.140625" style="449" bestFit="1" customWidth="1"/>
    <col min="1313" max="1536" width="9.140625" style="449"/>
    <col min="1537" max="1537" width="0.85546875" style="449" customWidth="1"/>
    <col min="1538" max="1538" width="3.42578125" style="449" customWidth="1"/>
    <col min="1539" max="1539" width="63.85546875" style="449" customWidth="1"/>
    <col min="1540" max="1540" width="11.140625" style="449" bestFit="1" customWidth="1"/>
    <col min="1541" max="1541" width="8.42578125" style="449" bestFit="1" customWidth="1"/>
    <col min="1542" max="1542" width="7.5703125" style="449" bestFit="1" customWidth="1"/>
    <col min="1543" max="1543" width="8.42578125" style="449" bestFit="1" customWidth="1"/>
    <col min="1544" max="1544" width="9.42578125" style="449" bestFit="1" customWidth="1"/>
    <col min="1545" max="1546" width="9.140625" style="449" bestFit="1" customWidth="1"/>
    <col min="1547" max="1547" width="10.5703125" style="449" bestFit="1" customWidth="1"/>
    <col min="1548" max="1550" width="10.140625" style="449" bestFit="1" customWidth="1"/>
    <col min="1551" max="1551" width="9.28515625" style="449" bestFit="1" customWidth="1"/>
    <col min="1552" max="1553" width="10.140625" style="449" bestFit="1" customWidth="1"/>
    <col min="1554" max="1554" width="9.140625" style="449" bestFit="1" customWidth="1"/>
    <col min="1555" max="1556" width="10.140625" style="449" bestFit="1" customWidth="1"/>
    <col min="1557" max="1557" width="9.140625" style="449" bestFit="1" customWidth="1"/>
    <col min="1558" max="1559" width="10.140625" style="449" bestFit="1" customWidth="1"/>
    <col min="1560" max="1560" width="9.140625" style="449" bestFit="1" customWidth="1"/>
    <col min="1561" max="1561" width="10.140625" style="449" bestFit="1" customWidth="1"/>
    <col min="1562" max="1562" width="7.42578125" style="449" customWidth="1"/>
    <col min="1563" max="1563" width="7.5703125" style="449" bestFit="1" customWidth="1"/>
    <col min="1564" max="1564" width="7.42578125" style="449" customWidth="1"/>
    <col min="1565" max="1565" width="0.7109375" style="449" customWidth="1"/>
    <col min="1566" max="1566" width="7.5703125" style="449" bestFit="1" customWidth="1"/>
    <col min="1567" max="1567" width="6.5703125" style="449" bestFit="1" customWidth="1"/>
    <col min="1568" max="1568" width="10.140625" style="449" bestFit="1" customWidth="1"/>
    <col min="1569" max="1792" width="9.140625" style="449"/>
    <col min="1793" max="1793" width="0.85546875" style="449" customWidth="1"/>
    <col min="1794" max="1794" width="3.42578125" style="449" customWidth="1"/>
    <col min="1795" max="1795" width="63.85546875" style="449" customWidth="1"/>
    <col min="1796" max="1796" width="11.140625" style="449" bestFit="1" customWidth="1"/>
    <col min="1797" max="1797" width="8.42578125" style="449" bestFit="1" customWidth="1"/>
    <col min="1798" max="1798" width="7.5703125" style="449" bestFit="1" customWidth="1"/>
    <col min="1799" max="1799" width="8.42578125" style="449" bestFit="1" customWidth="1"/>
    <col min="1800" max="1800" width="9.42578125" style="449" bestFit="1" customWidth="1"/>
    <col min="1801" max="1802" width="9.140625" style="449" bestFit="1" customWidth="1"/>
    <col min="1803" max="1803" width="10.5703125" style="449" bestFit="1" customWidth="1"/>
    <col min="1804" max="1806" width="10.140625" style="449" bestFit="1" customWidth="1"/>
    <col min="1807" max="1807" width="9.28515625" style="449" bestFit="1" customWidth="1"/>
    <col min="1808" max="1809" width="10.140625" style="449" bestFit="1" customWidth="1"/>
    <col min="1810" max="1810" width="9.140625" style="449" bestFit="1" customWidth="1"/>
    <col min="1811" max="1812" width="10.140625" style="449" bestFit="1" customWidth="1"/>
    <col min="1813" max="1813" width="9.140625" style="449" bestFit="1" customWidth="1"/>
    <col min="1814" max="1815" width="10.140625" style="449" bestFit="1" customWidth="1"/>
    <col min="1816" max="1816" width="9.140625" style="449" bestFit="1" customWidth="1"/>
    <col min="1817" max="1817" width="10.140625" style="449" bestFit="1" customWidth="1"/>
    <col min="1818" max="1818" width="7.42578125" style="449" customWidth="1"/>
    <col min="1819" max="1819" width="7.5703125" style="449" bestFit="1" customWidth="1"/>
    <col min="1820" max="1820" width="7.42578125" style="449" customWidth="1"/>
    <col min="1821" max="1821" width="0.7109375" style="449" customWidth="1"/>
    <col min="1822" max="1822" width="7.5703125" style="449" bestFit="1" customWidth="1"/>
    <col min="1823" max="1823" width="6.5703125" style="449" bestFit="1" customWidth="1"/>
    <col min="1824" max="1824" width="10.140625" style="449" bestFit="1" customWidth="1"/>
    <col min="1825" max="2048" width="9.140625" style="449"/>
    <col min="2049" max="2049" width="0.85546875" style="449" customWidth="1"/>
    <col min="2050" max="2050" width="3.42578125" style="449" customWidth="1"/>
    <col min="2051" max="2051" width="63.85546875" style="449" customWidth="1"/>
    <col min="2052" max="2052" width="11.140625" style="449" bestFit="1" customWidth="1"/>
    <col min="2053" max="2053" width="8.42578125" style="449" bestFit="1" customWidth="1"/>
    <col min="2054" max="2054" width="7.5703125" style="449" bestFit="1" customWidth="1"/>
    <col min="2055" max="2055" width="8.42578125" style="449" bestFit="1" customWidth="1"/>
    <col min="2056" max="2056" width="9.42578125" style="449" bestFit="1" customWidth="1"/>
    <col min="2057" max="2058" width="9.140625" style="449" bestFit="1" customWidth="1"/>
    <col min="2059" max="2059" width="10.5703125" style="449" bestFit="1" customWidth="1"/>
    <col min="2060" max="2062" width="10.140625" style="449" bestFit="1" customWidth="1"/>
    <col min="2063" max="2063" width="9.28515625" style="449" bestFit="1" customWidth="1"/>
    <col min="2064" max="2065" width="10.140625" style="449" bestFit="1" customWidth="1"/>
    <col min="2066" max="2066" width="9.140625" style="449" bestFit="1" customWidth="1"/>
    <col min="2067" max="2068" width="10.140625" style="449" bestFit="1" customWidth="1"/>
    <col min="2069" max="2069" width="9.140625" style="449" bestFit="1" customWidth="1"/>
    <col min="2070" max="2071" width="10.140625" style="449" bestFit="1" customWidth="1"/>
    <col min="2072" max="2072" width="9.140625" style="449" bestFit="1" customWidth="1"/>
    <col min="2073" max="2073" width="10.140625" style="449" bestFit="1" customWidth="1"/>
    <col min="2074" max="2074" width="7.42578125" style="449" customWidth="1"/>
    <col min="2075" max="2075" width="7.5703125" style="449" bestFit="1" customWidth="1"/>
    <col min="2076" max="2076" width="7.42578125" style="449" customWidth="1"/>
    <col min="2077" max="2077" width="0.7109375" style="449" customWidth="1"/>
    <col min="2078" max="2078" width="7.5703125" style="449" bestFit="1" customWidth="1"/>
    <col min="2079" max="2079" width="6.5703125" style="449" bestFit="1" customWidth="1"/>
    <col min="2080" max="2080" width="10.140625" style="449" bestFit="1" customWidth="1"/>
    <col min="2081" max="2304" width="9.140625" style="449"/>
    <col min="2305" max="2305" width="0.85546875" style="449" customWidth="1"/>
    <col min="2306" max="2306" width="3.42578125" style="449" customWidth="1"/>
    <col min="2307" max="2307" width="63.85546875" style="449" customWidth="1"/>
    <col min="2308" max="2308" width="11.140625" style="449" bestFit="1" customWidth="1"/>
    <col min="2309" max="2309" width="8.42578125" style="449" bestFit="1" customWidth="1"/>
    <col min="2310" max="2310" width="7.5703125" style="449" bestFit="1" customWidth="1"/>
    <col min="2311" max="2311" width="8.42578125" style="449" bestFit="1" customWidth="1"/>
    <col min="2312" max="2312" width="9.42578125" style="449" bestFit="1" customWidth="1"/>
    <col min="2313" max="2314" width="9.140625" style="449" bestFit="1" customWidth="1"/>
    <col min="2315" max="2315" width="10.5703125" style="449" bestFit="1" customWidth="1"/>
    <col min="2316" max="2318" width="10.140625" style="449" bestFit="1" customWidth="1"/>
    <col min="2319" max="2319" width="9.28515625" style="449" bestFit="1" customWidth="1"/>
    <col min="2320" max="2321" width="10.140625" style="449" bestFit="1" customWidth="1"/>
    <col min="2322" max="2322" width="9.140625" style="449" bestFit="1" customWidth="1"/>
    <col min="2323" max="2324" width="10.140625" style="449" bestFit="1" customWidth="1"/>
    <col min="2325" max="2325" width="9.140625" style="449" bestFit="1" customWidth="1"/>
    <col min="2326" max="2327" width="10.140625" style="449" bestFit="1" customWidth="1"/>
    <col min="2328" max="2328" width="9.140625" style="449" bestFit="1" customWidth="1"/>
    <col min="2329" max="2329" width="10.140625" style="449" bestFit="1" customWidth="1"/>
    <col min="2330" max="2330" width="7.42578125" style="449" customWidth="1"/>
    <col min="2331" max="2331" width="7.5703125" style="449" bestFit="1" customWidth="1"/>
    <col min="2332" max="2332" width="7.42578125" style="449" customWidth="1"/>
    <col min="2333" max="2333" width="0.7109375" style="449" customWidth="1"/>
    <col min="2334" max="2334" width="7.5703125" style="449" bestFit="1" customWidth="1"/>
    <col min="2335" max="2335" width="6.5703125" style="449" bestFit="1" customWidth="1"/>
    <col min="2336" max="2336" width="10.140625" style="449" bestFit="1" customWidth="1"/>
    <col min="2337" max="2560" width="9.140625" style="449"/>
    <col min="2561" max="2561" width="0.85546875" style="449" customWidth="1"/>
    <col min="2562" max="2562" width="3.42578125" style="449" customWidth="1"/>
    <col min="2563" max="2563" width="63.85546875" style="449" customWidth="1"/>
    <col min="2564" max="2564" width="11.140625" style="449" bestFit="1" customWidth="1"/>
    <col min="2565" max="2565" width="8.42578125" style="449" bestFit="1" customWidth="1"/>
    <col min="2566" max="2566" width="7.5703125" style="449" bestFit="1" customWidth="1"/>
    <col min="2567" max="2567" width="8.42578125" style="449" bestFit="1" customWidth="1"/>
    <col min="2568" max="2568" width="9.42578125" style="449" bestFit="1" customWidth="1"/>
    <col min="2569" max="2570" width="9.140625" style="449" bestFit="1" customWidth="1"/>
    <col min="2571" max="2571" width="10.5703125" style="449" bestFit="1" customWidth="1"/>
    <col min="2572" max="2574" width="10.140625" style="449" bestFit="1" customWidth="1"/>
    <col min="2575" max="2575" width="9.28515625" style="449" bestFit="1" customWidth="1"/>
    <col min="2576" max="2577" width="10.140625" style="449" bestFit="1" customWidth="1"/>
    <col min="2578" max="2578" width="9.140625" style="449" bestFit="1" customWidth="1"/>
    <col min="2579" max="2580" width="10.140625" style="449" bestFit="1" customWidth="1"/>
    <col min="2581" max="2581" width="9.140625" style="449" bestFit="1" customWidth="1"/>
    <col min="2582" max="2583" width="10.140625" style="449" bestFit="1" customWidth="1"/>
    <col min="2584" max="2584" width="9.140625" style="449" bestFit="1" customWidth="1"/>
    <col min="2585" max="2585" width="10.140625" style="449" bestFit="1" customWidth="1"/>
    <col min="2586" max="2586" width="7.42578125" style="449" customWidth="1"/>
    <col min="2587" max="2587" width="7.5703125" style="449" bestFit="1" customWidth="1"/>
    <col min="2588" max="2588" width="7.42578125" style="449" customWidth="1"/>
    <col min="2589" max="2589" width="0.7109375" style="449" customWidth="1"/>
    <col min="2590" max="2590" width="7.5703125" style="449" bestFit="1" customWidth="1"/>
    <col min="2591" max="2591" width="6.5703125" style="449" bestFit="1" customWidth="1"/>
    <col min="2592" max="2592" width="10.140625" style="449" bestFit="1" customWidth="1"/>
    <col min="2593" max="2816" width="9.140625" style="449"/>
    <col min="2817" max="2817" width="0.85546875" style="449" customWidth="1"/>
    <col min="2818" max="2818" width="3.42578125" style="449" customWidth="1"/>
    <col min="2819" max="2819" width="63.85546875" style="449" customWidth="1"/>
    <col min="2820" max="2820" width="11.140625" style="449" bestFit="1" customWidth="1"/>
    <col min="2821" max="2821" width="8.42578125" style="449" bestFit="1" customWidth="1"/>
    <col min="2822" max="2822" width="7.5703125" style="449" bestFit="1" customWidth="1"/>
    <col min="2823" max="2823" width="8.42578125" style="449" bestFit="1" customWidth="1"/>
    <col min="2824" max="2824" width="9.42578125" style="449" bestFit="1" customWidth="1"/>
    <col min="2825" max="2826" width="9.140625" style="449" bestFit="1" customWidth="1"/>
    <col min="2827" max="2827" width="10.5703125" style="449" bestFit="1" customWidth="1"/>
    <col min="2828" max="2830" width="10.140625" style="449" bestFit="1" customWidth="1"/>
    <col min="2831" max="2831" width="9.28515625" style="449" bestFit="1" customWidth="1"/>
    <col min="2832" max="2833" width="10.140625" style="449" bestFit="1" customWidth="1"/>
    <col min="2834" max="2834" width="9.140625" style="449" bestFit="1" customWidth="1"/>
    <col min="2835" max="2836" width="10.140625" style="449" bestFit="1" customWidth="1"/>
    <col min="2837" max="2837" width="9.140625" style="449" bestFit="1" customWidth="1"/>
    <col min="2838" max="2839" width="10.140625" style="449" bestFit="1" customWidth="1"/>
    <col min="2840" max="2840" width="9.140625" style="449" bestFit="1" customWidth="1"/>
    <col min="2841" max="2841" width="10.140625" style="449" bestFit="1" customWidth="1"/>
    <col min="2842" max="2842" width="7.42578125" style="449" customWidth="1"/>
    <col min="2843" max="2843" width="7.5703125" style="449" bestFit="1" customWidth="1"/>
    <col min="2844" max="2844" width="7.42578125" style="449" customWidth="1"/>
    <col min="2845" max="2845" width="0.7109375" style="449" customWidth="1"/>
    <col min="2846" max="2846" width="7.5703125" style="449" bestFit="1" customWidth="1"/>
    <col min="2847" max="2847" width="6.5703125" style="449" bestFit="1" customWidth="1"/>
    <col min="2848" max="2848" width="10.140625" style="449" bestFit="1" customWidth="1"/>
    <col min="2849" max="3072" width="9.140625" style="449"/>
    <col min="3073" max="3073" width="0.85546875" style="449" customWidth="1"/>
    <col min="3074" max="3074" width="3.42578125" style="449" customWidth="1"/>
    <col min="3075" max="3075" width="63.85546875" style="449" customWidth="1"/>
    <col min="3076" max="3076" width="11.140625" style="449" bestFit="1" customWidth="1"/>
    <col min="3077" max="3077" width="8.42578125" style="449" bestFit="1" customWidth="1"/>
    <col min="3078" max="3078" width="7.5703125" style="449" bestFit="1" customWidth="1"/>
    <col min="3079" max="3079" width="8.42578125" style="449" bestFit="1" customWidth="1"/>
    <col min="3080" max="3080" width="9.42578125" style="449" bestFit="1" customWidth="1"/>
    <col min="3081" max="3082" width="9.140625" style="449" bestFit="1" customWidth="1"/>
    <col min="3083" max="3083" width="10.5703125" style="449" bestFit="1" customWidth="1"/>
    <col min="3084" max="3086" width="10.140625" style="449" bestFit="1" customWidth="1"/>
    <col min="3087" max="3087" width="9.28515625" style="449" bestFit="1" customWidth="1"/>
    <col min="3088" max="3089" width="10.140625" style="449" bestFit="1" customWidth="1"/>
    <col min="3090" max="3090" width="9.140625" style="449" bestFit="1" customWidth="1"/>
    <col min="3091" max="3092" width="10.140625" style="449" bestFit="1" customWidth="1"/>
    <col min="3093" max="3093" width="9.140625" style="449" bestFit="1" customWidth="1"/>
    <col min="3094" max="3095" width="10.140625" style="449" bestFit="1" customWidth="1"/>
    <col min="3096" max="3096" width="9.140625" style="449" bestFit="1" customWidth="1"/>
    <col min="3097" max="3097" width="10.140625" style="449" bestFit="1" customWidth="1"/>
    <col min="3098" max="3098" width="7.42578125" style="449" customWidth="1"/>
    <col min="3099" max="3099" width="7.5703125" style="449" bestFit="1" customWidth="1"/>
    <col min="3100" max="3100" width="7.42578125" style="449" customWidth="1"/>
    <col min="3101" max="3101" width="0.7109375" style="449" customWidth="1"/>
    <col min="3102" max="3102" width="7.5703125" style="449" bestFit="1" customWidth="1"/>
    <col min="3103" max="3103" width="6.5703125" style="449" bestFit="1" customWidth="1"/>
    <col min="3104" max="3104" width="10.140625" style="449" bestFit="1" customWidth="1"/>
    <col min="3105" max="3328" width="9.140625" style="449"/>
    <col min="3329" max="3329" width="0.85546875" style="449" customWidth="1"/>
    <col min="3330" max="3330" width="3.42578125" style="449" customWidth="1"/>
    <col min="3331" max="3331" width="63.85546875" style="449" customWidth="1"/>
    <col min="3332" max="3332" width="11.140625" style="449" bestFit="1" customWidth="1"/>
    <col min="3333" max="3333" width="8.42578125" style="449" bestFit="1" customWidth="1"/>
    <col min="3334" max="3334" width="7.5703125" style="449" bestFit="1" customWidth="1"/>
    <col min="3335" max="3335" width="8.42578125" style="449" bestFit="1" customWidth="1"/>
    <col min="3336" max="3336" width="9.42578125" style="449" bestFit="1" customWidth="1"/>
    <col min="3337" max="3338" width="9.140625" style="449" bestFit="1" customWidth="1"/>
    <col min="3339" max="3339" width="10.5703125" style="449" bestFit="1" customWidth="1"/>
    <col min="3340" max="3342" width="10.140625" style="449" bestFit="1" customWidth="1"/>
    <col min="3343" max="3343" width="9.28515625" style="449" bestFit="1" customWidth="1"/>
    <col min="3344" max="3345" width="10.140625" style="449" bestFit="1" customWidth="1"/>
    <col min="3346" max="3346" width="9.140625" style="449" bestFit="1" customWidth="1"/>
    <col min="3347" max="3348" width="10.140625" style="449" bestFit="1" customWidth="1"/>
    <col min="3349" max="3349" width="9.140625" style="449" bestFit="1" customWidth="1"/>
    <col min="3350" max="3351" width="10.140625" style="449" bestFit="1" customWidth="1"/>
    <col min="3352" max="3352" width="9.140625" style="449" bestFit="1" customWidth="1"/>
    <col min="3353" max="3353" width="10.140625" style="449" bestFit="1" customWidth="1"/>
    <col min="3354" max="3354" width="7.42578125" style="449" customWidth="1"/>
    <col min="3355" max="3355" width="7.5703125" style="449" bestFit="1" customWidth="1"/>
    <col min="3356" max="3356" width="7.42578125" style="449" customWidth="1"/>
    <col min="3357" max="3357" width="0.7109375" style="449" customWidth="1"/>
    <col min="3358" max="3358" width="7.5703125" style="449" bestFit="1" customWidth="1"/>
    <col min="3359" max="3359" width="6.5703125" style="449" bestFit="1" customWidth="1"/>
    <col min="3360" max="3360" width="10.140625" style="449" bestFit="1" customWidth="1"/>
    <col min="3361" max="3584" width="9.140625" style="449"/>
    <col min="3585" max="3585" width="0.85546875" style="449" customWidth="1"/>
    <col min="3586" max="3586" width="3.42578125" style="449" customWidth="1"/>
    <col min="3587" max="3587" width="63.85546875" style="449" customWidth="1"/>
    <col min="3588" max="3588" width="11.140625" style="449" bestFit="1" customWidth="1"/>
    <col min="3589" max="3589" width="8.42578125" style="449" bestFit="1" customWidth="1"/>
    <col min="3590" max="3590" width="7.5703125" style="449" bestFit="1" customWidth="1"/>
    <col min="3591" max="3591" width="8.42578125" style="449" bestFit="1" customWidth="1"/>
    <col min="3592" max="3592" width="9.42578125" style="449" bestFit="1" customWidth="1"/>
    <col min="3593" max="3594" width="9.140625" style="449" bestFit="1" customWidth="1"/>
    <col min="3595" max="3595" width="10.5703125" style="449" bestFit="1" customWidth="1"/>
    <col min="3596" max="3598" width="10.140625" style="449" bestFit="1" customWidth="1"/>
    <col min="3599" max="3599" width="9.28515625" style="449" bestFit="1" customWidth="1"/>
    <col min="3600" max="3601" width="10.140625" style="449" bestFit="1" customWidth="1"/>
    <col min="3602" max="3602" width="9.140625" style="449" bestFit="1" customWidth="1"/>
    <col min="3603" max="3604" width="10.140625" style="449" bestFit="1" customWidth="1"/>
    <col min="3605" max="3605" width="9.140625" style="449" bestFit="1" customWidth="1"/>
    <col min="3606" max="3607" width="10.140625" style="449" bestFit="1" customWidth="1"/>
    <col min="3608" max="3608" width="9.140625" style="449" bestFit="1" customWidth="1"/>
    <col min="3609" max="3609" width="10.140625" style="449" bestFit="1" customWidth="1"/>
    <col min="3610" max="3610" width="7.42578125" style="449" customWidth="1"/>
    <col min="3611" max="3611" width="7.5703125" style="449" bestFit="1" customWidth="1"/>
    <col min="3612" max="3612" width="7.42578125" style="449" customWidth="1"/>
    <col min="3613" max="3613" width="0.7109375" style="449" customWidth="1"/>
    <col min="3614" max="3614" width="7.5703125" style="449" bestFit="1" customWidth="1"/>
    <col min="3615" max="3615" width="6.5703125" style="449" bestFit="1" customWidth="1"/>
    <col min="3616" max="3616" width="10.140625" style="449" bestFit="1" customWidth="1"/>
    <col min="3617" max="3840" width="9.140625" style="449"/>
    <col min="3841" max="3841" width="0.85546875" style="449" customWidth="1"/>
    <col min="3842" max="3842" width="3.42578125" style="449" customWidth="1"/>
    <col min="3843" max="3843" width="63.85546875" style="449" customWidth="1"/>
    <col min="3844" max="3844" width="11.140625" style="449" bestFit="1" customWidth="1"/>
    <col min="3845" max="3845" width="8.42578125" style="449" bestFit="1" customWidth="1"/>
    <col min="3846" max="3846" width="7.5703125" style="449" bestFit="1" customWidth="1"/>
    <col min="3847" max="3847" width="8.42578125" style="449" bestFit="1" customWidth="1"/>
    <col min="3848" max="3848" width="9.42578125" style="449" bestFit="1" customWidth="1"/>
    <col min="3849" max="3850" width="9.140625" style="449" bestFit="1" customWidth="1"/>
    <col min="3851" max="3851" width="10.5703125" style="449" bestFit="1" customWidth="1"/>
    <col min="3852" max="3854" width="10.140625" style="449" bestFit="1" customWidth="1"/>
    <col min="3855" max="3855" width="9.28515625" style="449" bestFit="1" customWidth="1"/>
    <col min="3856" max="3857" width="10.140625" style="449" bestFit="1" customWidth="1"/>
    <col min="3858" max="3858" width="9.140625" style="449" bestFit="1" customWidth="1"/>
    <col min="3859" max="3860" width="10.140625" style="449" bestFit="1" customWidth="1"/>
    <col min="3861" max="3861" width="9.140625" style="449" bestFit="1" customWidth="1"/>
    <col min="3862" max="3863" width="10.140625" style="449" bestFit="1" customWidth="1"/>
    <col min="3864" max="3864" width="9.140625" style="449" bestFit="1" customWidth="1"/>
    <col min="3865" max="3865" width="10.140625" style="449" bestFit="1" customWidth="1"/>
    <col min="3866" max="3866" width="7.42578125" style="449" customWidth="1"/>
    <col min="3867" max="3867" width="7.5703125" style="449" bestFit="1" customWidth="1"/>
    <col min="3868" max="3868" width="7.42578125" style="449" customWidth="1"/>
    <col min="3869" max="3869" width="0.7109375" style="449" customWidth="1"/>
    <col min="3870" max="3870" width="7.5703125" style="449" bestFit="1" customWidth="1"/>
    <col min="3871" max="3871" width="6.5703125" style="449" bestFit="1" customWidth="1"/>
    <col min="3872" max="3872" width="10.140625" style="449" bestFit="1" customWidth="1"/>
    <col min="3873" max="4096" width="9.140625" style="449"/>
    <col min="4097" max="4097" width="0.85546875" style="449" customWidth="1"/>
    <col min="4098" max="4098" width="3.42578125" style="449" customWidth="1"/>
    <col min="4099" max="4099" width="63.85546875" style="449" customWidth="1"/>
    <col min="4100" max="4100" width="11.140625" style="449" bestFit="1" customWidth="1"/>
    <col min="4101" max="4101" width="8.42578125" style="449" bestFit="1" customWidth="1"/>
    <col min="4102" max="4102" width="7.5703125" style="449" bestFit="1" customWidth="1"/>
    <col min="4103" max="4103" width="8.42578125" style="449" bestFit="1" customWidth="1"/>
    <col min="4104" max="4104" width="9.42578125" style="449" bestFit="1" customWidth="1"/>
    <col min="4105" max="4106" width="9.140625" style="449" bestFit="1" customWidth="1"/>
    <col min="4107" max="4107" width="10.5703125" style="449" bestFit="1" customWidth="1"/>
    <col min="4108" max="4110" width="10.140625" style="449" bestFit="1" customWidth="1"/>
    <col min="4111" max="4111" width="9.28515625" style="449" bestFit="1" customWidth="1"/>
    <col min="4112" max="4113" width="10.140625" style="449" bestFit="1" customWidth="1"/>
    <col min="4114" max="4114" width="9.140625" style="449" bestFit="1" customWidth="1"/>
    <col min="4115" max="4116" width="10.140625" style="449" bestFit="1" customWidth="1"/>
    <col min="4117" max="4117" width="9.140625" style="449" bestFit="1" customWidth="1"/>
    <col min="4118" max="4119" width="10.140625" style="449" bestFit="1" customWidth="1"/>
    <col min="4120" max="4120" width="9.140625" style="449" bestFit="1" customWidth="1"/>
    <col min="4121" max="4121" width="10.140625" style="449" bestFit="1" customWidth="1"/>
    <col min="4122" max="4122" width="7.42578125" style="449" customWidth="1"/>
    <col min="4123" max="4123" width="7.5703125" style="449" bestFit="1" customWidth="1"/>
    <col min="4124" max="4124" width="7.42578125" style="449" customWidth="1"/>
    <col min="4125" max="4125" width="0.7109375" style="449" customWidth="1"/>
    <col min="4126" max="4126" width="7.5703125" style="449" bestFit="1" customWidth="1"/>
    <col min="4127" max="4127" width="6.5703125" style="449" bestFit="1" customWidth="1"/>
    <col min="4128" max="4128" width="10.140625" style="449" bestFit="1" customWidth="1"/>
    <col min="4129" max="4352" width="9.140625" style="449"/>
    <col min="4353" max="4353" width="0.85546875" style="449" customWidth="1"/>
    <col min="4354" max="4354" width="3.42578125" style="449" customWidth="1"/>
    <col min="4355" max="4355" width="63.85546875" style="449" customWidth="1"/>
    <col min="4356" max="4356" width="11.140625" style="449" bestFit="1" customWidth="1"/>
    <col min="4357" max="4357" width="8.42578125" style="449" bestFit="1" customWidth="1"/>
    <col min="4358" max="4358" width="7.5703125" style="449" bestFit="1" customWidth="1"/>
    <col min="4359" max="4359" width="8.42578125" style="449" bestFit="1" customWidth="1"/>
    <col min="4360" max="4360" width="9.42578125" style="449" bestFit="1" customWidth="1"/>
    <col min="4361" max="4362" width="9.140625" style="449" bestFit="1" customWidth="1"/>
    <col min="4363" max="4363" width="10.5703125" style="449" bestFit="1" customWidth="1"/>
    <col min="4364" max="4366" width="10.140625" style="449" bestFit="1" customWidth="1"/>
    <col min="4367" max="4367" width="9.28515625" style="449" bestFit="1" customWidth="1"/>
    <col min="4368" max="4369" width="10.140625" style="449" bestFit="1" customWidth="1"/>
    <col min="4370" max="4370" width="9.140625" style="449" bestFit="1" customWidth="1"/>
    <col min="4371" max="4372" width="10.140625" style="449" bestFit="1" customWidth="1"/>
    <col min="4373" max="4373" width="9.140625" style="449" bestFit="1" customWidth="1"/>
    <col min="4374" max="4375" width="10.140625" style="449" bestFit="1" customWidth="1"/>
    <col min="4376" max="4376" width="9.140625" style="449" bestFit="1" customWidth="1"/>
    <col min="4377" max="4377" width="10.140625" style="449" bestFit="1" customWidth="1"/>
    <col min="4378" max="4378" width="7.42578125" style="449" customWidth="1"/>
    <col min="4379" max="4379" width="7.5703125" style="449" bestFit="1" customWidth="1"/>
    <col min="4380" max="4380" width="7.42578125" style="449" customWidth="1"/>
    <col min="4381" max="4381" width="0.7109375" style="449" customWidth="1"/>
    <col min="4382" max="4382" width="7.5703125" style="449" bestFit="1" customWidth="1"/>
    <col min="4383" max="4383" width="6.5703125" style="449" bestFit="1" customWidth="1"/>
    <col min="4384" max="4384" width="10.140625" style="449" bestFit="1" customWidth="1"/>
    <col min="4385" max="4608" width="9.140625" style="449"/>
    <col min="4609" max="4609" width="0.85546875" style="449" customWidth="1"/>
    <col min="4610" max="4610" width="3.42578125" style="449" customWidth="1"/>
    <col min="4611" max="4611" width="63.85546875" style="449" customWidth="1"/>
    <col min="4612" max="4612" width="11.140625" style="449" bestFit="1" customWidth="1"/>
    <col min="4613" max="4613" width="8.42578125" style="449" bestFit="1" customWidth="1"/>
    <col min="4614" max="4614" width="7.5703125" style="449" bestFit="1" customWidth="1"/>
    <col min="4615" max="4615" width="8.42578125" style="449" bestFit="1" customWidth="1"/>
    <col min="4616" max="4616" width="9.42578125" style="449" bestFit="1" customWidth="1"/>
    <col min="4617" max="4618" width="9.140625" style="449" bestFit="1" customWidth="1"/>
    <col min="4619" max="4619" width="10.5703125" style="449" bestFit="1" customWidth="1"/>
    <col min="4620" max="4622" width="10.140625" style="449" bestFit="1" customWidth="1"/>
    <col min="4623" max="4623" width="9.28515625" style="449" bestFit="1" customWidth="1"/>
    <col min="4624" max="4625" width="10.140625" style="449" bestFit="1" customWidth="1"/>
    <col min="4626" max="4626" width="9.140625" style="449" bestFit="1" customWidth="1"/>
    <col min="4627" max="4628" width="10.140625" style="449" bestFit="1" customWidth="1"/>
    <col min="4629" max="4629" width="9.140625" style="449" bestFit="1" customWidth="1"/>
    <col min="4630" max="4631" width="10.140625" style="449" bestFit="1" customWidth="1"/>
    <col min="4632" max="4632" width="9.140625" style="449" bestFit="1" customWidth="1"/>
    <col min="4633" max="4633" width="10.140625" style="449" bestFit="1" customWidth="1"/>
    <col min="4634" max="4634" width="7.42578125" style="449" customWidth="1"/>
    <col min="4635" max="4635" width="7.5703125" style="449" bestFit="1" customWidth="1"/>
    <col min="4636" max="4636" width="7.42578125" style="449" customWidth="1"/>
    <col min="4637" max="4637" width="0.7109375" style="449" customWidth="1"/>
    <col min="4638" max="4638" width="7.5703125" style="449" bestFit="1" customWidth="1"/>
    <col min="4639" max="4639" width="6.5703125" style="449" bestFit="1" customWidth="1"/>
    <col min="4640" max="4640" width="10.140625" style="449" bestFit="1" customWidth="1"/>
    <col min="4641" max="4864" width="9.140625" style="449"/>
    <col min="4865" max="4865" width="0.85546875" style="449" customWidth="1"/>
    <col min="4866" max="4866" width="3.42578125" style="449" customWidth="1"/>
    <col min="4867" max="4867" width="63.85546875" style="449" customWidth="1"/>
    <col min="4868" max="4868" width="11.140625" style="449" bestFit="1" customWidth="1"/>
    <col min="4869" max="4869" width="8.42578125" style="449" bestFit="1" customWidth="1"/>
    <col min="4870" max="4870" width="7.5703125" style="449" bestFit="1" customWidth="1"/>
    <col min="4871" max="4871" width="8.42578125" style="449" bestFit="1" customWidth="1"/>
    <col min="4872" max="4872" width="9.42578125" style="449" bestFit="1" customWidth="1"/>
    <col min="4873" max="4874" width="9.140625" style="449" bestFit="1" customWidth="1"/>
    <col min="4875" max="4875" width="10.5703125" style="449" bestFit="1" customWidth="1"/>
    <col min="4876" max="4878" width="10.140625" style="449" bestFit="1" customWidth="1"/>
    <col min="4879" max="4879" width="9.28515625" style="449" bestFit="1" customWidth="1"/>
    <col min="4880" max="4881" width="10.140625" style="449" bestFit="1" customWidth="1"/>
    <col min="4882" max="4882" width="9.140625" style="449" bestFit="1" customWidth="1"/>
    <col min="4883" max="4884" width="10.140625" style="449" bestFit="1" customWidth="1"/>
    <col min="4885" max="4885" width="9.140625" style="449" bestFit="1" customWidth="1"/>
    <col min="4886" max="4887" width="10.140625" style="449" bestFit="1" customWidth="1"/>
    <col min="4888" max="4888" width="9.140625" style="449" bestFit="1" customWidth="1"/>
    <col min="4889" max="4889" width="10.140625" style="449" bestFit="1" customWidth="1"/>
    <col min="4890" max="4890" width="7.42578125" style="449" customWidth="1"/>
    <col min="4891" max="4891" width="7.5703125" style="449" bestFit="1" customWidth="1"/>
    <col min="4892" max="4892" width="7.42578125" style="449" customWidth="1"/>
    <col min="4893" max="4893" width="0.7109375" style="449" customWidth="1"/>
    <col min="4894" max="4894" width="7.5703125" style="449" bestFit="1" customWidth="1"/>
    <col min="4895" max="4895" width="6.5703125" style="449" bestFit="1" customWidth="1"/>
    <col min="4896" max="4896" width="10.140625" style="449" bestFit="1" customWidth="1"/>
    <col min="4897" max="5120" width="9.140625" style="449"/>
    <col min="5121" max="5121" width="0.85546875" style="449" customWidth="1"/>
    <col min="5122" max="5122" width="3.42578125" style="449" customWidth="1"/>
    <col min="5123" max="5123" width="63.85546875" style="449" customWidth="1"/>
    <col min="5124" max="5124" width="11.140625" style="449" bestFit="1" customWidth="1"/>
    <col min="5125" max="5125" width="8.42578125" style="449" bestFit="1" customWidth="1"/>
    <col min="5126" max="5126" width="7.5703125" style="449" bestFit="1" customWidth="1"/>
    <col min="5127" max="5127" width="8.42578125" style="449" bestFit="1" customWidth="1"/>
    <col min="5128" max="5128" width="9.42578125" style="449" bestFit="1" customWidth="1"/>
    <col min="5129" max="5130" width="9.140625" style="449" bestFit="1" customWidth="1"/>
    <col min="5131" max="5131" width="10.5703125" style="449" bestFit="1" customWidth="1"/>
    <col min="5132" max="5134" width="10.140625" style="449" bestFit="1" customWidth="1"/>
    <col min="5135" max="5135" width="9.28515625" style="449" bestFit="1" customWidth="1"/>
    <col min="5136" max="5137" width="10.140625" style="449" bestFit="1" customWidth="1"/>
    <col min="5138" max="5138" width="9.140625" style="449" bestFit="1" customWidth="1"/>
    <col min="5139" max="5140" width="10.140625" style="449" bestFit="1" customWidth="1"/>
    <col min="5141" max="5141" width="9.140625" style="449" bestFit="1" customWidth="1"/>
    <col min="5142" max="5143" width="10.140625" style="449" bestFit="1" customWidth="1"/>
    <col min="5144" max="5144" width="9.140625" style="449" bestFit="1" customWidth="1"/>
    <col min="5145" max="5145" width="10.140625" style="449" bestFit="1" customWidth="1"/>
    <col min="5146" max="5146" width="7.42578125" style="449" customWidth="1"/>
    <col min="5147" max="5147" width="7.5703125" style="449" bestFit="1" customWidth="1"/>
    <col min="5148" max="5148" width="7.42578125" style="449" customWidth="1"/>
    <col min="5149" max="5149" width="0.7109375" style="449" customWidth="1"/>
    <col min="5150" max="5150" width="7.5703125" style="449" bestFit="1" customWidth="1"/>
    <col min="5151" max="5151" width="6.5703125" style="449" bestFit="1" customWidth="1"/>
    <col min="5152" max="5152" width="10.140625" style="449" bestFit="1" customWidth="1"/>
    <col min="5153" max="5376" width="9.140625" style="449"/>
    <col min="5377" max="5377" width="0.85546875" style="449" customWidth="1"/>
    <col min="5378" max="5378" width="3.42578125" style="449" customWidth="1"/>
    <col min="5379" max="5379" width="63.85546875" style="449" customWidth="1"/>
    <col min="5380" max="5380" width="11.140625" style="449" bestFit="1" customWidth="1"/>
    <col min="5381" max="5381" width="8.42578125" style="449" bestFit="1" customWidth="1"/>
    <col min="5382" max="5382" width="7.5703125" style="449" bestFit="1" customWidth="1"/>
    <col min="5383" max="5383" width="8.42578125" style="449" bestFit="1" customWidth="1"/>
    <col min="5384" max="5384" width="9.42578125" style="449" bestFit="1" customWidth="1"/>
    <col min="5385" max="5386" width="9.140625" style="449" bestFit="1" customWidth="1"/>
    <col min="5387" max="5387" width="10.5703125" style="449" bestFit="1" customWidth="1"/>
    <col min="5388" max="5390" width="10.140625" style="449" bestFit="1" customWidth="1"/>
    <col min="5391" max="5391" width="9.28515625" style="449" bestFit="1" customWidth="1"/>
    <col min="5392" max="5393" width="10.140625" style="449" bestFit="1" customWidth="1"/>
    <col min="5394" max="5394" width="9.140625" style="449" bestFit="1" customWidth="1"/>
    <col min="5395" max="5396" width="10.140625" style="449" bestFit="1" customWidth="1"/>
    <col min="5397" max="5397" width="9.140625" style="449" bestFit="1" customWidth="1"/>
    <col min="5398" max="5399" width="10.140625" style="449" bestFit="1" customWidth="1"/>
    <col min="5400" max="5400" width="9.140625" style="449" bestFit="1" customWidth="1"/>
    <col min="5401" max="5401" width="10.140625" style="449" bestFit="1" customWidth="1"/>
    <col min="5402" max="5402" width="7.42578125" style="449" customWidth="1"/>
    <col min="5403" max="5403" width="7.5703125" style="449" bestFit="1" customWidth="1"/>
    <col min="5404" max="5404" width="7.42578125" style="449" customWidth="1"/>
    <col min="5405" max="5405" width="0.7109375" style="449" customWidth="1"/>
    <col min="5406" max="5406" width="7.5703125" style="449" bestFit="1" customWidth="1"/>
    <col min="5407" max="5407" width="6.5703125" style="449" bestFit="1" customWidth="1"/>
    <col min="5408" max="5408" width="10.140625" style="449" bestFit="1" customWidth="1"/>
    <col min="5409" max="5632" width="9.140625" style="449"/>
    <col min="5633" max="5633" width="0.85546875" style="449" customWidth="1"/>
    <col min="5634" max="5634" width="3.42578125" style="449" customWidth="1"/>
    <col min="5635" max="5635" width="63.85546875" style="449" customWidth="1"/>
    <col min="5636" max="5636" width="11.140625" style="449" bestFit="1" customWidth="1"/>
    <col min="5637" max="5637" width="8.42578125" style="449" bestFit="1" customWidth="1"/>
    <col min="5638" max="5638" width="7.5703125" style="449" bestFit="1" customWidth="1"/>
    <col min="5639" max="5639" width="8.42578125" style="449" bestFit="1" customWidth="1"/>
    <col min="5640" max="5640" width="9.42578125" style="449" bestFit="1" customWidth="1"/>
    <col min="5641" max="5642" width="9.140625" style="449" bestFit="1" customWidth="1"/>
    <col min="5643" max="5643" width="10.5703125" style="449" bestFit="1" customWidth="1"/>
    <col min="5644" max="5646" width="10.140625" style="449" bestFit="1" customWidth="1"/>
    <col min="5647" max="5647" width="9.28515625" style="449" bestFit="1" customWidth="1"/>
    <col min="5648" max="5649" width="10.140625" style="449" bestFit="1" customWidth="1"/>
    <col min="5650" max="5650" width="9.140625" style="449" bestFit="1" customWidth="1"/>
    <col min="5651" max="5652" width="10.140625" style="449" bestFit="1" customWidth="1"/>
    <col min="5653" max="5653" width="9.140625" style="449" bestFit="1" customWidth="1"/>
    <col min="5654" max="5655" width="10.140625" style="449" bestFit="1" customWidth="1"/>
    <col min="5656" max="5656" width="9.140625" style="449" bestFit="1" customWidth="1"/>
    <col min="5657" max="5657" width="10.140625" style="449" bestFit="1" customWidth="1"/>
    <col min="5658" max="5658" width="7.42578125" style="449" customWidth="1"/>
    <col min="5659" max="5659" width="7.5703125" style="449" bestFit="1" customWidth="1"/>
    <col min="5660" max="5660" width="7.42578125" style="449" customWidth="1"/>
    <col min="5661" max="5661" width="0.7109375" style="449" customWidth="1"/>
    <col min="5662" max="5662" width="7.5703125" style="449" bestFit="1" customWidth="1"/>
    <col min="5663" max="5663" width="6.5703125" style="449" bestFit="1" customWidth="1"/>
    <col min="5664" max="5664" width="10.140625" style="449" bestFit="1" customWidth="1"/>
    <col min="5665" max="5888" width="9.140625" style="449"/>
    <col min="5889" max="5889" width="0.85546875" style="449" customWidth="1"/>
    <col min="5890" max="5890" width="3.42578125" style="449" customWidth="1"/>
    <col min="5891" max="5891" width="63.85546875" style="449" customWidth="1"/>
    <col min="5892" max="5892" width="11.140625" style="449" bestFit="1" customWidth="1"/>
    <col min="5893" max="5893" width="8.42578125" style="449" bestFit="1" customWidth="1"/>
    <col min="5894" max="5894" width="7.5703125" style="449" bestFit="1" customWidth="1"/>
    <col min="5895" max="5895" width="8.42578125" style="449" bestFit="1" customWidth="1"/>
    <col min="5896" max="5896" width="9.42578125" style="449" bestFit="1" customWidth="1"/>
    <col min="5897" max="5898" width="9.140625" style="449" bestFit="1" customWidth="1"/>
    <col min="5899" max="5899" width="10.5703125" style="449" bestFit="1" customWidth="1"/>
    <col min="5900" max="5902" width="10.140625" style="449" bestFit="1" customWidth="1"/>
    <col min="5903" max="5903" width="9.28515625" style="449" bestFit="1" customWidth="1"/>
    <col min="5904" max="5905" width="10.140625" style="449" bestFit="1" customWidth="1"/>
    <col min="5906" max="5906" width="9.140625" style="449" bestFit="1" customWidth="1"/>
    <col min="5907" max="5908" width="10.140625" style="449" bestFit="1" customWidth="1"/>
    <col min="5909" max="5909" width="9.140625" style="449" bestFit="1" customWidth="1"/>
    <col min="5910" max="5911" width="10.140625" style="449" bestFit="1" customWidth="1"/>
    <col min="5912" max="5912" width="9.140625" style="449" bestFit="1" customWidth="1"/>
    <col min="5913" max="5913" width="10.140625" style="449" bestFit="1" customWidth="1"/>
    <col min="5914" max="5914" width="7.42578125" style="449" customWidth="1"/>
    <col min="5915" max="5915" width="7.5703125" style="449" bestFit="1" customWidth="1"/>
    <col min="5916" max="5916" width="7.42578125" style="449" customWidth="1"/>
    <col min="5917" max="5917" width="0.7109375" style="449" customWidth="1"/>
    <col min="5918" max="5918" width="7.5703125" style="449" bestFit="1" customWidth="1"/>
    <col min="5919" max="5919" width="6.5703125" style="449" bestFit="1" customWidth="1"/>
    <col min="5920" max="5920" width="10.140625" style="449" bestFit="1" customWidth="1"/>
    <col min="5921" max="6144" width="9.140625" style="449"/>
    <col min="6145" max="6145" width="0.85546875" style="449" customWidth="1"/>
    <col min="6146" max="6146" width="3.42578125" style="449" customWidth="1"/>
    <col min="6147" max="6147" width="63.85546875" style="449" customWidth="1"/>
    <col min="6148" max="6148" width="11.140625" style="449" bestFit="1" customWidth="1"/>
    <col min="6149" max="6149" width="8.42578125" style="449" bestFit="1" customWidth="1"/>
    <col min="6150" max="6150" width="7.5703125" style="449" bestFit="1" customWidth="1"/>
    <col min="6151" max="6151" width="8.42578125" style="449" bestFit="1" customWidth="1"/>
    <col min="6152" max="6152" width="9.42578125" style="449" bestFit="1" customWidth="1"/>
    <col min="6153" max="6154" width="9.140625" style="449" bestFit="1" customWidth="1"/>
    <col min="6155" max="6155" width="10.5703125" style="449" bestFit="1" customWidth="1"/>
    <col min="6156" max="6158" width="10.140625" style="449" bestFit="1" customWidth="1"/>
    <col min="6159" max="6159" width="9.28515625" style="449" bestFit="1" customWidth="1"/>
    <col min="6160" max="6161" width="10.140625" style="449" bestFit="1" customWidth="1"/>
    <col min="6162" max="6162" width="9.140625" style="449" bestFit="1" customWidth="1"/>
    <col min="6163" max="6164" width="10.140625" style="449" bestFit="1" customWidth="1"/>
    <col min="6165" max="6165" width="9.140625" style="449" bestFit="1" customWidth="1"/>
    <col min="6166" max="6167" width="10.140625" style="449" bestFit="1" customWidth="1"/>
    <col min="6168" max="6168" width="9.140625" style="449" bestFit="1" customWidth="1"/>
    <col min="6169" max="6169" width="10.140625" style="449" bestFit="1" customWidth="1"/>
    <col min="6170" max="6170" width="7.42578125" style="449" customWidth="1"/>
    <col min="6171" max="6171" width="7.5703125" style="449" bestFit="1" customWidth="1"/>
    <col min="6172" max="6172" width="7.42578125" style="449" customWidth="1"/>
    <col min="6173" max="6173" width="0.7109375" style="449" customWidth="1"/>
    <col min="6174" max="6174" width="7.5703125" style="449" bestFit="1" customWidth="1"/>
    <col min="6175" max="6175" width="6.5703125" style="449" bestFit="1" customWidth="1"/>
    <col min="6176" max="6176" width="10.140625" style="449" bestFit="1" customWidth="1"/>
    <col min="6177" max="6400" width="9.140625" style="449"/>
    <col min="6401" max="6401" width="0.85546875" style="449" customWidth="1"/>
    <col min="6402" max="6402" width="3.42578125" style="449" customWidth="1"/>
    <col min="6403" max="6403" width="63.85546875" style="449" customWidth="1"/>
    <col min="6404" max="6404" width="11.140625" style="449" bestFit="1" customWidth="1"/>
    <col min="6405" max="6405" width="8.42578125" style="449" bestFit="1" customWidth="1"/>
    <col min="6406" max="6406" width="7.5703125" style="449" bestFit="1" customWidth="1"/>
    <col min="6407" max="6407" width="8.42578125" style="449" bestFit="1" customWidth="1"/>
    <col min="6408" max="6408" width="9.42578125" style="449" bestFit="1" customWidth="1"/>
    <col min="6409" max="6410" width="9.140625" style="449" bestFit="1" customWidth="1"/>
    <col min="6411" max="6411" width="10.5703125" style="449" bestFit="1" customWidth="1"/>
    <col min="6412" max="6414" width="10.140625" style="449" bestFit="1" customWidth="1"/>
    <col min="6415" max="6415" width="9.28515625" style="449" bestFit="1" customWidth="1"/>
    <col min="6416" max="6417" width="10.140625" style="449" bestFit="1" customWidth="1"/>
    <col min="6418" max="6418" width="9.140625" style="449" bestFit="1" customWidth="1"/>
    <col min="6419" max="6420" width="10.140625" style="449" bestFit="1" customWidth="1"/>
    <col min="6421" max="6421" width="9.140625" style="449" bestFit="1" customWidth="1"/>
    <col min="6422" max="6423" width="10.140625" style="449" bestFit="1" customWidth="1"/>
    <col min="6424" max="6424" width="9.140625" style="449" bestFit="1" customWidth="1"/>
    <col min="6425" max="6425" width="10.140625" style="449" bestFit="1" customWidth="1"/>
    <col min="6426" max="6426" width="7.42578125" style="449" customWidth="1"/>
    <col min="6427" max="6427" width="7.5703125" style="449" bestFit="1" customWidth="1"/>
    <col min="6428" max="6428" width="7.42578125" style="449" customWidth="1"/>
    <col min="6429" max="6429" width="0.7109375" style="449" customWidth="1"/>
    <col min="6430" max="6430" width="7.5703125" style="449" bestFit="1" customWidth="1"/>
    <col min="6431" max="6431" width="6.5703125" style="449" bestFit="1" customWidth="1"/>
    <col min="6432" max="6432" width="10.140625" style="449" bestFit="1" customWidth="1"/>
    <col min="6433" max="6656" width="9.140625" style="449"/>
    <col min="6657" max="6657" width="0.85546875" style="449" customWidth="1"/>
    <col min="6658" max="6658" width="3.42578125" style="449" customWidth="1"/>
    <col min="6659" max="6659" width="63.85546875" style="449" customWidth="1"/>
    <col min="6660" max="6660" width="11.140625" style="449" bestFit="1" customWidth="1"/>
    <col min="6661" max="6661" width="8.42578125" style="449" bestFit="1" customWidth="1"/>
    <col min="6662" max="6662" width="7.5703125" style="449" bestFit="1" customWidth="1"/>
    <col min="6663" max="6663" width="8.42578125" style="449" bestFit="1" customWidth="1"/>
    <col min="6664" max="6664" width="9.42578125" style="449" bestFit="1" customWidth="1"/>
    <col min="6665" max="6666" width="9.140625" style="449" bestFit="1" customWidth="1"/>
    <col min="6667" max="6667" width="10.5703125" style="449" bestFit="1" customWidth="1"/>
    <col min="6668" max="6670" width="10.140625" style="449" bestFit="1" customWidth="1"/>
    <col min="6671" max="6671" width="9.28515625" style="449" bestFit="1" customWidth="1"/>
    <col min="6672" max="6673" width="10.140625" style="449" bestFit="1" customWidth="1"/>
    <col min="6674" max="6674" width="9.140625" style="449" bestFit="1" customWidth="1"/>
    <col min="6675" max="6676" width="10.140625" style="449" bestFit="1" customWidth="1"/>
    <col min="6677" max="6677" width="9.140625" style="449" bestFit="1" customWidth="1"/>
    <col min="6678" max="6679" width="10.140625" style="449" bestFit="1" customWidth="1"/>
    <col min="6680" max="6680" width="9.140625" style="449" bestFit="1" customWidth="1"/>
    <col min="6681" max="6681" width="10.140625" style="449" bestFit="1" customWidth="1"/>
    <col min="6682" max="6682" width="7.42578125" style="449" customWidth="1"/>
    <col min="6683" max="6683" width="7.5703125" style="449" bestFit="1" customWidth="1"/>
    <col min="6684" max="6684" width="7.42578125" style="449" customWidth="1"/>
    <col min="6685" max="6685" width="0.7109375" style="449" customWidth="1"/>
    <col min="6686" max="6686" width="7.5703125" style="449" bestFit="1" customWidth="1"/>
    <col min="6687" max="6687" width="6.5703125" style="449" bestFit="1" customWidth="1"/>
    <col min="6688" max="6688" width="10.140625" style="449" bestFit="1" customWidth="1"/>
    <col min="6689" max="6912" width="9.140625" style="449"/>
    <col min="6913" max="6913" width="0.85546875" style="449" customWidth="1"/>
    <col min="6914" max="6914" width="3.42578125" style="449" customWidth="1"/>
    <col min="6915" max="6915" width="63.85546875" style="449" customWidth="1"/>
    <col min="6916" max="6916" width="11.140625" style="449" bestFit="1" customWidth="1"/>
    <col min="6917" max="6917" width="8.42578125" style="449" bestFit="1" customWidth="1"/>
    <col min="6918" max="6918" width="7.5703125" style="449" bestFit="1" customWidth="1"/>
    <col min="6919" max="6919" width="8.42578125" style="449" bestFit="1" customWidth="1"/>
    <col min="6920" max="6920" width="9.42578125" style="449" bestFit="1" customWidth="1"/>
    <col min="6921" max="6922" width="9.140625" style="449" bestFit="1" customWidth="1"/>
    <col min="6923" max="6923" width="10.5703125" style="449" bestFit="1" customWidth="1"/>
    <col min="6924" max="6926" width="10.140625" style="449" bestFit="1" customWidth="1"/>
    <col min="6927" max="6927" width="9.28515625" style="449" bestFit="1" customWidth="1"/>
    <col min="6928" max="6929" width="10.140625" style="449" bestFit="1" customWidth="1"/>
    <col min="6930" max="6930" width="9.140625" style="449" bestFit="1" customWidth="1"/>
    <col min="6931" max="6932" width="10.140625" style="449" bestFit="1" customWidth="1"/>
    <col min="6933" max="6933" width="9.140625" style="449" bestFit="1" customWidth="1"/>
    <col min="6934" max="6935" width="10.140625" style="449" bestFit="1" customWidth="1"/>
    <col min="6936" max="6936" width="9.140625" style="449" bestFit="1" customWidth="1"/>
    <col min="6937" max="6937" width="10.140625" style="449" bestFit="1" customWidth="1"/>
    <col min="6938" max="6938" width="7.42578125" style="449" customWidth="1"/>
    <col min="6939" max="6939" width="7.5703125" style="449" bestFit="1" customWidth="1"/>
    <col min="6940" max="6940" width="7.42578125" style="449" customWidth="1"/>
    <col min="6941" max="6941" width="0.7109375" style="449" customWidth="1"/>
    <col min="6942" max="6942" width="7.5703125" style="449" bestFit="1" customWidth="1"/>
    <col min="6943" max="6943" width="6.5703125" style="449" bestFit="1" customWidth="1"/>
    <col min="6944" max="6944" width="10.140625" style="449" bestFit="1" customWidth="1"/>
    <col min="6945" max="7168" width="9.140625" style="449"/>
    <col min="7169" max="7169" width="0.85546875" style="449" customWidth="1"/>
    <col min="7170" max="7170" width="3.42578125" style="449" customWidth="1"/>
    <col min="7171" max="7171" width="63.85546875" style="449" customWidth="1"/>
    <col min="7172" max="7172" width="11.140625" style="449" bestFit="1" customWidth="1"/>
    <col min="7173" max="7173" width="8.42578125" style="449" bestFit="1" customWidth="1"/>
    <col min="7174" max="7174" width="7.5703125" style="449" bestFit="1" customWidth="1"/>
    <col min="7175" max="7175" width="8.42578125" style="449" bestFit="1" customWidth="1"/>
    <col min="7176" max="7176" width="9.42578125" style="449" bestFit="1" customWidth="1"/>
    <col min="7177" max="7178" width="9.140625" style="449" bestFit="1" customWidth="1"/>
    <col min="7179" max="7179" width="10.5703125" style="449" bestFit="1" customWidth="1"/>
    <col min="7180" max="7182" width="10.140625" style="449" bestFit="1" customWidth="1"/>
    <col min="7183" max="7183" width="9.28515625" style="449" bestFit="1" customWidth="1"/>
    <col min="7184" max="7185" width="10.140625" style="449" bestFit="1" customWidth="1"/>
    <col min="7186" max="7186" width="9.140625" style="449" bestFit="1" customWidth="1"/>
    <col min="7187" max="7188" width="10.140625" style="449" bestFit="1" customWidth="1"/>
    <col min="7189" max="7189" width="9.140625" style="449" bestFit="1" customWidth="1"/>
    <col min="7190" max="7191" width="10.140625" style="449" bestFit="1" customWidth="1"/>
    <col min="7192" max="7192" width="9.140625" style="449" bestFit="1" customWidth="1"/>
    <col min="7193" max="7193" width="10.140625" style="449" bestFit="1" customWidth="1"/>
    <col min="7194" max="7194" width="7.42578125" style="449" customWidth="1"/>
    <col min="7195" max="7195" width="7.5703125" style="449" bestFit="1" customWidth="1"/>
    <col min="7196" max="7196" width="7.42578125" style="449" customWidth="1"/>
    <col min="7197" max="7197" width="0.7109375" style="449" customWidth="1"/>
    <col min="7198" max="7198" width="7.5703125" style="449" bestFit="1" customWidth="1"/>
    <col min="7199" max="7199" width="6.5703125" style="449" bestFit="1" customWidth="1"/>
    <col min="7200" max="7200" width="10.140625" style="449" bestFit="1" customWidth="1"/>
    <col min="7201" max="7424" width="9.140625" style="449"/>
    <col min="7425" max="7425" width="0.85546875" style="449" customWidth="1"/>
    <col min="7426" max="7426" width="3.42578125" style="449" customWidth="1"/>
    <col min="7427" max="7427" width="63.85546875" style="449" customWidth="1"/>
    <col min="7428" max="7428" width="11.140625" style="449" bestFit="1" customWidth="1"/>
    <col min="7429" max="7429" width="8.42578125" style="449" bestFit="1" customWidth="1"/>
    <col min="7430" max="7430" width="7.5703125" style="449" bestFit="1" customWidth="1"/>
    <col min="7431" max="7431" width="8.42578125" style="449" bestFit="1" customWidth="1"/>
    <col min="7432" max="7432" width="9.42578125" style="449" bestFit="1" customWidth="1"/>
    <col min="7433" max="7434" width="9.140625" style="449" bestFit="1" customWidth="1"/>
    <col min="7435" max="7435" width="10.5703125" style="449" bestFit="1" customWidth="1"/>
    <col min="7436" max="7438" width="10.140625" style="449" bestFit="1" customWidth="1"/>
    <col min="7439" max="7439" width="9.28515625" style="449" bestFit="1" customWidth="1"/>
    <col min="7440" max="7441" width="10.140625" style="449" bestFit="1" customWidth="1"/>
    <col min="7442" max="7442" width="9.140625" style="449" bestFit="1" customWidth="1"/>
    <col min="7443" max="7444" width="10.140625" style="449" bestFit="1" customWidth="1"/>
    <col min="7445" max="7445" width="9.140625" style="449" bestFit="1" customWidth="1"/>
    <col min="7446" max="7447" width="10.140625" style="449" bestFit="1" customWidth="1"/>
    <col min="7448" max="7448" width="9.140625" style="449" bestFit="1" customWidth="1"/>
    <col min="7449" max="7449" width="10.140625" style="449" bestFit="1" customWidth="1"/>
    <col min="7450" max="7450" width="7.42578125" style="449" customWidth="1"/>
    <col min="7451" max="7451" width="7.5703125" style="449" bestFit="1" customWidth="1"/>
    <col min="7452" max="7452" width="7.42578125" style="449" customWidth="1"/>
    <col min="7453" max="7453" width="0.7109375" style="449" customWidth="1"/>
    <col min="7454" max="7454" width="7.5703125" style="449" bestFit="1" customWidth="1"/>
    <col min="7455" max="7455" width="6.5703125" style="449" bestFit="1" customWidth="1"/>
    <col min="7456" max="7456" width="10.140625" style="449" bestFit="1" customWidth="1"/>
    <col min="7457" max="7680" width="9.140625" style="449"/>
    <col min="7681" max="7681" width="0.85546875" style="449" customWidth="1"/>
    <col min="7682" max="7682" width="3.42578125" style="449" customWidth="1"/>
    <col min="7683" max="7683" width="63.85546875" style="449" customWidth="1"/>
    <col min="7684" max="7684" width="11.140625" style="449" bestFit="1" customWidth="1"/>
    <col min="7685" max="7685" width="8.42578125" style="449" bestFit="1" customWidth="1"/>
    <col min="7686" max="7686" width="7.5703125" style="449" bestFit="1" customWidth="1"/>
    <col min="7687" max="7687" width="8.42578125" style="449" bestFit="1" customWidth="1"/>
    <col min="7688" max="7688" width="9.42578125" style="449" bestFit="1" customWidth="1"/>
    <col min="7689" max="7690" width="9.140625" style="449" bestFit="1" customWidth="1"/>
    <col min="7691" max="7691" width="10.5703125" style="449" bestFit="1" customWidth="1"/>
    <col min="7692" max="7694" width="10.140625" style="449" bestFit="1" customWidth="1"/>
    <col min="7695" max="7695" width="9.28515625" style="449" bestFit="1" customWidth="1"/>
    <col min="7696" max="7697" width="10.140625" style="449" bestFit="1" customWidth="1"/>
    <col min="7698" max="7698" width="9.140625" style="449" bestFit="1" customWidth="1"/>
    <col min="7699" max="7700" width="10.140625" style="449" bestFit="1" customWidth="1"/>
    <col min="7701" max="7701" width="9.140625" style="449" bestFit="1" customWidth="1"/>
    <col min="7702" max="7703" width="10.140625" style="449" bestFit="1" customWidth="1"/>
    <col min="7704" max="7704" width="9.140625" style="449" bestFit="1" customWidth="1"/>
    <col min="7705" max="7705" width="10.140625" style="449" bestFit="1" customWidth="1"/>
    <col min="7706" max="7706" width="7.42578125" style="449" customWidth="1"/>
    <col min="7707" max="7707" width="7.5703125" style="449" bestFit="1" customWidth="1"/>
    <col min="7708" max="7708" width="7.42578125" style="449" customWidth="1"/>
    <col min="7709" max="7709" width="0.7109375" style="449" customWidth="1"/>
    <col min="7710" max="7710" width="7.5703125" style="449" bestFit="1" customWidth="1"/>
    <col min="7711" max="7711" width="6.5703125" style="449" bestFit="1" customWidth="1"/>
    <col min="7712" max="7712" width="10.140625" style="449" bestFit="1" customWidth="1"/>
    <col min="7713" max="7936" width="9.140625" style="449"/>
    <col min="7937" max="7937" width="0.85546875" style="449" customWidth="1"/>
    <col min="7938" max="7938" width="3.42578125" style="449" customWidth="1"/>
    <col min="7939" max="7939" width="63.85546875" style="449" customWidth="1"/>
    <col min="7940" max="7940" width="11.140625" style="449" bestFit="1" customWidth="1"/>
    <col min="7941" max="7941" width="8.42578125" style="449" bestFit="1" customWidth="1"/>
    <col min="7942" max="7942" width="7.5703125" style="449" bestFit="1" customWidth="1"/>
    <col min="7943" max="7943" width="8.42578125" style="449" bestFit="1" customWidth="1"/>
    <col min="7944" max="7944" width="9.42578125" style="449" bestFit="1" customWidth="1"/>
    <col min="7945" max="7946" width="9.140625" style="449" bestFit="1" customWidth="1"/>
    <col min="7947" max="7947" width="10.5703125" style="449" bestFit="1" customWidth="1"/>
    <col min="7948" max="7950" width="10.140625" style="449" bestFit="1" customWidth="1"/>
    <col min="7951" max="7951" width="9.28515625" style="449" bestFit="1" customWidth="1"/>
    <col min="7952" max="7953" width="10.140625" style="449" bestFit="1" customWidth="1"/>
    <col min="7954" max="7954" width="9.140625" style="449" bestFit="1" customWidth="1"/>
    <col min="7955" max="7956" width="10.140625" style="449" bestFit="1" customWidth="1"/>
    <col min="7957" max="7957" width="9.140625" style="449" bestFit="1" customWidth="1"/>
    <col min="7958" max="7959" width="10.140625" style="449" bestFit="1" customWidth="1"/>
    <col min="7960" max="7960" width="9.140625" style="449" bestFit="1" customWidth="1"/>
    <col min="7961" max="7961" width="10.140625" style="449" bestFit="1" customWidth="1"/>
    <col min="7962" max="7962" width="7.42578125" style="449" customWidth="1"/>
    <col min="7963" max="7963" width="7.5703125" style="449" bestFit="1" customWidth="1"/>
    <col min="7964" max="7964" width="7.42578125" style="449" customWidth="1"/>
    <col min="7965" max="7965" width="0.7109375" style="449" customWidth="1"/>
    <col min="7966" max="7966" width="7.5703125" style="449" bestFit="1" customWidth="1"/>
    <col min="7967" max="7967" width="6.5703125" style="449" bestFit="1" customWidth="1"/>
    <col min="7968" max="7968" width="10.140625" style="449" bestFit="1" customWidth="1"/>
    <col min="7969" max="8192" width="9.140625" style="449"/>
    <col min="8193" max="8193" width="0.85546875" style="449" customWidth="1"/>
    <col min="8194" max="8194" width="3.42578125" style="449" customWidth="1"/>
    <col min="8195" max="8195" width="63.85546875" style="449" customWidth="1"/>
    <col min="8196" max="8196" width="11.140625" style="449" bestFit="1" customWidth="1"/>
    <col min="8197" max="8197" width="8.42578125" style="449" bestFit="1" customWidth="1"/>
    <col min="8198" max="8198" width="7.5703125" style="449" bestFit="1" customWidth="1"/>
    <col min="8199" max="8199" width="8.42578125" style="449" bestFit="1" customWidth="1"/>
    <col min="8200" max="8200" width="9.42578125" style="449" bestFit="1" customWidth="1"/>
    <col min="8201" max="8202" width="9.140625" style="449" bestFit="1" customWidth="1"/>
    <col min="8203" max="8203" width="10.5703125" style="449" bestFit="1" customWidth="1"/>
    <col min="8204" max="8206" width="10.140625" style="449" bestFit="1" customWidth="1"/>
    <col min="8207" max="8207" width="9.28515625" style="449" bestFit="1" customWidth="1"/>
    <col min="8208" max="8209" width="10.140625" style="449" bestFit="1" customWidth="1"/>
    <col min="8210" max="8210" width="9.140625" style="449" bestFit="1" customWidth="1"/>
    <col min="8211" max="8212" width="10.140625" style="449" bestFit="1" customWidth="1"/>
    <col min="8213" max="8213" width="9.140625" style="449" bestFit="1" customWidth="1"/>
    <col min="8214" max="8215" width="10.140625" style="449" bestFit="1" customWidth="1"/>
    <col min="8216" max="8216" width="9.140625" style="449" bestFit="1" customWidth="1"/>
    <col min="8217" max="8217" width="10.140625" style="449" bestFit="1" customWidth="1"/>
    <col min="8218" max="8218" width="7.42578125" style="449" customWidth="1"/>
    <col min="8219" max="8219" width="7.5703125" style="449" bestFit="1" customWidth="1"/>
    <col min="8220" max="8220" width="7.42578125" style="449" customWidth="1"/>
    <col min="8221" max="8221" width="0.7109375" style="449" customWidth="1"/>
    <col min="8222" max="8222" width="7.5703125" style="449" bestFit="1" customWidth="1"/>
    <col min="8223" max="8223" width="6.5703125" style="449" bestFit="1" customWidth="1"/>
    <col min="8224" max="8224" width="10.140625" style="449" bestFit="1" customWidth="1"/>
    <col min="8225" max="8448" width="9.140625" style="449"/>
    <col min="8449" max="8449" width="0.85546875" style="449" customWidth="1"/>
    <col min="8450" max="8450" width="3.42578125" style="449" customWidth="1"/>
    <col min="8451" max="8451" width="63.85546875" style="449" customWidth="1"/>
    <col min="8452" max="8452" width="11.140625" style="449" bestFit="1" customWidth="1"/>
    <col min="8453" max="8453" width="8.42578125" style="449" bestFit="1" customWidth="1"/>
    <col min="8454" max="8454" width="7.5703125" style="449" bestFit="1" customWidth="1"/>
    <col min="8455" max="8455" width="8.42578125" style="449" bestFit="1" customWidth="1"/>
    <col min="8456" max="8456" width="9.42578125" style="449" bestFit="1" customWidth="1"/>
    <col min="8457" max="8458" width="9.140625" style="449" bestFit="1" customWidth="1"/>
    <col min="8459" max="8459" width="10.5703125" style="449" bestFit="1" customWidth="1"/>
    <col min="8460" max="8462" width="10.140625" style="449" bestFit="1" customWidth="1"/>
    <col min="8463" max="8463" width="9.28515625" style="449" bestFit="1" customWidth="1"/>
    <col min="8464" max="8465" width="10.140625" style="449" bestFit="1" customWidth="1"/>
    <col min="8466" max="8466" width="9.140625" style="449" bestFit="1" customWidth="1"/>
    <col min="8467" max="8468" width="10.140625" style="449" bestFit="1" customWidth="1"/>
    <col min="8469" max="8469" width="9.140625" style="449" bestFit="1" customWidth="1"/>
    <col min="8470" max="8471" width="10.140625" style="449" bestFit="1" customWidth="1"/>
    <col min="8472" max="8472" width="9.140625" style="449" bestFit="1" customWidth="1"/>
    <col min="8473" max="8473" width="10.140625" style="449" bestFit="1" customWidth="1"/>
    <col min="8474" max="8474" width="7.42578125" style="449" customWidth="1"/>
    <col min="8475" max="8475" width="7.5703125" style="449" bestFit="1" customWidth="1"/>
    <col min="8476" max="8476" width="7.42578125" style="449" customWidth="1"/>
    <col min="8477" max="8477" width="0.7109375" style="449" customWidth="1"/>
    <col min="8478" max="8478" width="7.5703125" style="449" bestFit="1" customWidth="1"/>
    <col min="8479" max="8479" width="6.5703125" style="449" bestFit="1" customWidth="1"/>
    <col min="8480" max="8480" width="10.140625" style="449" bestFit="1" customWidth="1"/>
    <col min="8481" max="8704" width="9.140625" style="449"/>
    <col min="8705" max="8705" width="0.85546875" style="449" customWidth="1"/>
    <col min="8706" max="8706" width="3.42578125" style="449" customWidth="1"/>
    <col min="8707" max="8707" width="63.85546875" style="449" customWidth="1"/>
    <col min="8708" max="8708" width="11.140625" style="449" bestFit="1" customWidth="1"/>
    <col min="8709" max="8709" width="8.42578125" style="449" bestFit="1" customWidth="1"/>
    <col min="8710" max="8710" width="7.5703125" style="449" bestFit="1" customWidth="1"/>
    <col min="8711" max="8711" width="8.42578125" style="449" bestFit="1" customWidth="1"/>
    <col min="8712" max="8712" width="9.42578125" style="449" bestFit="1" customWidth="1"/>
    <col min="8713" max="8714" width="9.140625" style="449" bestFit="1" customWidth="1"/>
    <col min="8715" max="8715" width="10.5703125" style="449" bestFit="1" customWidth="1"/>
    <col min="8716" max="8718" width="10.140625" style="449" bestFit="1" customWidth="1"/>
    <col min="8719" max="8719" width="9.28515625" style="449" bestFit="1" customWidth="1"/>
    <col min="8720" max="8721" width="10.140625" style="449" bestFit="1" customWidth="1"/>
    <col min="8722" max="8722" width="9.140625" style="449" bestFit="1" customWidth="1"/>
    <col min="8723" max="8724" width="10.140625" style="449" bestFit="1" customWidth="1"/>
    <col min="8725" max="8725" width="9.140625" style="449" bestFit="1" customWidth="1"/>
    <col min="8726" max="8727" width="10.140625" style="449" bestFit="1" customWidth="1"/>
    <col min="8728" max="8728" width="9.140625" style="449" bestFit="1" customWidth="1"/>
    <col min="8729" max="8729" width="10.140625" style="449" bestFit="1" customWidth="1"/>
    <col min="8730" max="8730" width="7.42578125" style="449" customWidth="1"/>
    <col min="8731" max="8731" width="7.5703125" style="449" bestFit="1" customWidth="1"/>
    <col min="8732" max="8732" width="7.42578125" style="449" customWidth="1"/>
    <col min="8733" max="8733" width="0.7109375" style="449" customWidth="1"/>
    <col min="8734" max="8734" width="7.5703125" style="449" bestFit="1" customWidth="1"/>
    <col min="8735" max="8735" width="6.5703125" style="449" bestFit="1" customWidth="1"/>
    <col min="8736" max="8736" width="10.140625" style="449" bestFit="1" customWidth="1"/>
    <col min="8737" max="8960" width="9.140625" style="449"/>
    <col min="8961" max="8961" width="0.85546875" style="449" customWidth="1"/>
    <col min="8962" max="8962" width="3.42578125" style="449" customWidth="1"/>
    <col min="8963" max="8963" width="63.85546875" style="449" customWidth="1"/>
    <col min="8964" max="8964" width="11.140625" style="449" bestFit="1" customWidth="1"/>
    <col min="8965" max="8965" width="8.42578125" style="449" bestFit="1" customWidth="1"/>
    <col min="8966" max="8966" width="7.5703125" style="449" bestFit="1" customWidth="1"/>
    <col min="8967" max="8967" width="8.42578125" style="449" bestFit="1" customWidth="1"/>
    <col min="8968" max="8968" width="9.42578125" style="449" bestFit="1" customWidth="1"/>
    <col min="8969" max="8970" width="9.140625" style="449" bestFit="1" customWidth="1"/>
    <col min="8971" max="8971" width="10.5703125" style="449" bestFit="1" customWidth="1"/>
    <col min="8972" max="8974" width="10.140625" style="449" bestFit="1" customWidth="1"/>
    <col min="8975" max="8975" width="9.28515625" style="449" bestFit="1" customWidth="1"/>
    <col min="8976" max="8977" width="10.140625" style="449" bestFit="1" customWidth="1"/>
    <col min="8978" max="8978" width="9.140625" style="449" bestFit="1" customWidth="1"/>
    <col min="8979" max="8980" width="10.140625" style="449" bestFit="1" customWidth="1"/>
    <col min="8981" max="8981" width="9.140625" style="449" bestFit="1" customWidth="1"/>
    <col min="8982" max="8983" width="10.140625" style="449" bestFit="1" customWidth="1"/>
    <col min="8984" max="8984" width="9.140625" style="449" bestFit="1" customWidth="1"/>
    <col min="8985" max="8985" width="10.140625" style="449" bestFit="1" customWidth="1"/>
    <col min="8986" max="8986" width="7.42578125" style="449" customWidth="1"/>
    <col min="8987" max="8987" width="7.5703125" style="449" bestFit="1" customWidth="1"/>
    <col min="8988" max="8988" width="7.42578125" style="449" customWidth="1"/>
    <col min="8989" max="8989" width="0.7109375" style="449" customWidth="1"/>
    <col min="8990" max="8990" width="7.5703125" style="449" bestFit="1" customWidth="1"/>
    <col min="8991" max="8991" width="6.5703125" style="449" bestFit="1" customWidth="1"/>
    <col min="8992" max="8992" width="10.140625" style="449" bestFit="1" customWidth="1"/>
    <col min="8993" max="9216" width="9.140625" style="449"/>
    <col min="9217" max="9217" width="0.85546875" style="449" customWidth="1"/>
    <col min="9218" max="9218" width="3.42578125" style="449" customWidth="1"/>
    <col min="9219" max="9219" width="63.85546875" style="449" customWidth="1"/>
    <col min="9220" max="9220" width="11.140625" style="449" bestFit="1" customWidth="1"/>
    <col min="9221" max="9221" width="8.42578125" style="449" bestFit="1" customWidth="1"/>
    <col min="9222" max="9222" width="7.5703125" style="449" bestFit="1" customWidth="1"/>
    <col min="9223" max="9223" width="8.42578125" style="449" bestFit="1" customWidth="1"/>
    <col min="9224" max="9224" width="9.42578125" style="449" bestFit="1" customWidth="1"/>
    <col min="9225" max="9226" width="9.140625" style="449" bestFit="1" customWidth="1"/>
    <col min="9227" max="9227" width="10.5703125" style="449" bestFit="1" customWidth="1"/>
    <col min="9228" max="9230" width="10.140625" style="449" bestFit="1" customWidth="1"/>
    <col min="9231" max="9231" width="9.28515625" style="449" bestFit="1" customWidth="1"/>
    <col min="9232" max="9233" width="10.140625" style="449" bestFit="1" customWidth="1"/>
    <col min="9234" max="9234" width="9.140625" style="449" bestFit="1" customWidth="1"/>
    <col min="9235" max="9236" width="10.140625" style="449" bestFit="1" customWidth="1"/>
    <col min="9237" max="9237" width="9.140625" style="449" bestFit="1" customWidth="1"/>
    <col min="9238" max="9239" width="10.140625" style="449" bestFit="1" customWidth="1"/>
    <col min="9240" max="9240" width="9.140625" style="449" bestFit="1" customWidth="1"/>
    <col min="9241" max="9241" width="10.140625" style="449" bestFit="1" customWidth="1"/>
    <col min="9242" max="9242" width="7.42578125" style="449" customWidth="1"/>
    <col min="9243" max="9243" width="7.5703125" style="449" bestFit="1" customWidth="1"/>
    <col min="9244" max="9244" width="7.42578125" style="449" customWidth="1"/>
    <col min="9245" max="9245" width="0.7109375" style="449" customWidth="1"/>
    <col min="9246" max="9246" width="7.5703125" style="449" bestFit="1" customWidth="1"/>
    <col min="9247" max="9247" width="6.5703125" style="449" bestFit="1" customWidth="1"/>
    <col min="9248" max="9248" width="10.140625" style="449" bestFit="1" customWidth="1"/>
    <col min="9249" max="9472" width="9.140625" style="449"/>
    <col min="9473" max="9473" width="0.85546875" style="449" customWidth="1"/>
    <col min="9474" max="9474" width="3.42578125" style="449" customWidth="1"/>
    <col min="9475" max="9475" width="63.85546875" style="449" customWidth="1"/>
    <col min="9476" max="9476" width="11.140625" style="449" bestFit="1" customWidth="1"/>
    <col min="9477" max="9477" width="8.42578125" style="449" bestFit="1" customWidth="1"/>
    <col min="9478" max="9478" width="7.5703125" style="449" bestFit="1" customWidth="1"/>
    <col min="9479" max="9479" width="8.42578125" style="449" bestFit="1" customWidth="1"/>
    <col min="9480" max="9480" width="9.42578125" style="449" bestFit="1" customWidth="1"/>
    <col min="9481" max="9482" width="9.140625" style="449" bestFit="1" customWidth="1"/>
    <col min="9483" max="9483" width="10.5703125" style="449" bestFit="1" customWidth="1"/>
    <col min="9484" max="9486" width="10.140625" style="449" bestFit="1" customWidth="1"/>
    <col min="9487" max="9487" width="9.28515625" style="449" bestFit="1" customWidth="1"/>
    <col min="9488" max="9489" width="10.140625" style="449" bestFit="1" customWidth="1"/>
    <col min="9490" max="9490" width="9.140625" style="449" bestFit="1" customWidth="1"/>
    <col min="9491" max="9492" width="10.140625" style="449" bestFit="1" customWidth="1"/>
    <col min="9493" max="9493" width="9.140625" style="449" bestFit="1" customWidth="1"/>
    <col min="9494" max="9495" width="10.140625" style="449" bestFit="1" customWidth="1"/>
    <col min="9496" max="9496" width="9.140625" style="449" bestFit="1" customWidth="1"/>
    <col min="9497" max="9497" width="10.140625" style="449" bestFit="1" customWidth="1"/>
    <col min="9498" max="9498" width="7.42578125" style="449" customWidth="1"/>
    <col min="9499" max="9499" width="7.5703125" style="449" bestFit="1" customWidth="1"/>
    <col min="9500" max="9500" width="7.42578125" style="449" customWidth="1"/>
    <col min="9501" max="9501" width="0.7109375" style="449" customWidth="1"/>
    <col min="9502" max="9502" width="7.5703125" style="449" bestFit="1" customWidth="1"/>
    <col min="9503" max="9503" width="6.5703125" style="449" bestFit="1" customWidth="1"/>
    <col min="9504" max="9504" width="10.140625" style="449" bestFit="1" customWidth="1"/>
    <col min="9505" max="9728" width="9.140625" style="449"/>
    <col min="9729" max="9729" width="0.85546875" style="449" customWidth="1"/>
    <col min="9730" max="9730" width="3.42578125" style="449" customWidth="1"/>
    <col min="9731" max="9731" width="63.85546875" style="449" customWidth="1"/>
    <col min="9732" max="9732" width="11.140625" style="449" bestFit="1" customWidth="1"/>
    <col min="9733" max="9733" width="8.42578125" style="449" bestFit="1" customWidth="1"/>
    <col min="9734" max="9734" width="7.5703125" style="449" bestFit="1" customWidth="1"/>
    <col min="9735" max="9735" width="8.42578125" style="449" bestFit="1" customWidth="1"/>
    <col min="9736" max="9736" width="9.42578125" style="449" bestFit="1" customWidth="1"/>
    <col min="9737" max="9738" width="9.140625" style="449" bestFit="1" customWidth="1"/>
    <col min="9739" max="9739" width="10.5703125" style="449" bestFit="1" customWidth="1"/>
    <col min="9740" max="9742" width="10.140625" style="449" bestFit="1" customWidth="1"/>
    <col min="9743" max="9743" width="9.28515625" style="449" bestFit="1" customWidth="1"/>
    <col min="9744" max="9745" width="10.140625" style="449" bestFit="1" customWidth="1"/>
    <col min="9746" max="9746" width="9.140625" style="449" bestFit="1" customWidth="1"/>
    <col min="9747" max="9748" width="10.140625" style="449" bestFit="1" customWidth="1"/>
    <col min="9749" max="9749" width="9.140625" style="449" bestFit="1" customWidth="1"/>
    <col min="9750" max="9751" width="10.140625" style="449" bestFit="1" customWidth="1"/>
    <col min="9752" max="9752" width="9.140625" style="449" bestFit="1" customWidth="1"/>
    <col min="9753" max="9753" width="10.140625" style="449" bestFit="1" customWidth="1"/>
    <col min="9754" max="9754" width="7.42578125" style="449" customWidth="1"/>
    <col min="9755" max="9755" width="7.5703125" style="449" bestFit="1" customWidth="1"/>
    <col min="9756" max="9756" width="7.42578125" style="449" customWidth="1"/>
    <col min="9757" max="9757" width="0.7109375" style="449" customWidth="1"/>
    <col min="9758" max="9758" width="7.5703125" style="449" bestFit="1" customWidth="1"/>
    <col min="9759" max="9759" width="6.5703125" style="449" bestFit="1" customWidth="1"/>
    <col min="9760" max="9760" width="10.140625" style="449" bestFit="1" customWidth="1"/>
    <col min="9761" max="9984" width="9.140625" style="449"/>
    <col min="9985" max="9985" width="0.85546875" style="449" customWidth="1"/>
    <col min="9986" max="9986" width="3.42578125" style="449" customWidth="1"/>
    <col min="9987" max="9987" width="63.85546875" style="449" customWidth="1"/>
    <col min="9988" max="9988" width="11.140625" style="449" bestFit="1" customWidth="1"/>
    <col min="9989" max="9989" width="8.42578125" style="449" bestFit="1" customWidth="1"/>
    <col min="9990" max="9990" width="7.5703125" style="449" bestFit="1" customWidth="1"/>
    <col min="9991" max="9991" width="8.42578125" style="449" bestFit="1" customWidth="1"/>
    <col min="9992" max="9992" width="9.42578125" style="449" bestFit="1" customWidth="1"/>
    <col min="9993" max="9994" width="9.140625" style="449" bestFit="1" customWidth="1"/>
    <col min="9995" max="9995" width="10.5703125" style="449" bestFit="1" customWidth="1"/>
    <col min="9996" max="9998" width="10.140625" style="449" bestFit="1" customWidth="1"/>
    <col min="9999" max="9999" width="9.28515625" style="449" bestFit="1" customWidth="1"/>
    <col min="10000" max="10001" width="10.140625" style="449" bestFit="1" customWidth="1"/>
    <col min="10002" max="10002" width="9.140625" style="449" bestFit="1" customWidth="1"/>
    <col min="10003" max="10004" width="10.140625" style="449" bestFit="1" customWidth="1"/>
    <col min="10005" max="10005" width="9.140625" style="449" bestFit="1" customWidth="1"/>
    <col min="10006" max="10007" width="10.140625" style="449" bestFit="1" customWidth="1"/>
    <col min="10008" max="10008" width="9.140625" style="449" bestFit="1" customWidth="1"/>
    <col min="10009" max="10009" width="10.140625" style="449" bestFit="1" customWidth="1"/>
    <col min="10010" max="10010" width="7.42578125" style="449" customWidth="1"/>
    <col min="10011" max="10011" width="7.5703125" style="449" bestFit="1" customWidth="1"/>
    <col min="10012" max="10012" width="7.42578125" style="449" customWidth="1"/>
    <col min="10013" max="10013" width="0.7109375" style="449" customWidth="1"/>
    <col min="10014" max="10014" width="7.5703125" style="449" bestFit="1" customWidth="1"/>
    <col min="10015" max="10015" width="6.5703125" style="449" bestFit="1" customWidth="1"/>
    <col min="10016" max="10016" width="10.140625" style="449" bestFit="1" customWidth="1"/>
    <col min="10017" max="10240" width="9.140625" style="449"/>
    <col min="10241" max="10241" width="0.85546875" style="449" customWidth="1"/>
    <col min="10242" max="10242" width="3.42578125" style="449" customWidth="1"/>
    <col min="10243" max="10243" width="63.85546875" style="449" customWidth="1"/>
    <col min="10244" max="10244" width="11.140625" style="449" bestFit="1" customWidth="1"/>
    <col min="10245" max="10245" width="8.42578125" style="449" bestFit="1" customWidth="1"/>
    <col min="10246" max="10246" width="7.5703125" style="449" bestFit="1" customWidth="1"/>
    <col min="10247" max="10247" width="8.42578125" style="449" bestFit="1" customWidth="1"/>
    <col min="10248" max="10248" width="9.42578125" style="449" bestFit="1" customWidth="1"/>
    <col min="10249" max="10250" width="9.140625" style="449" bestFit="1" customWidth="1"/>
    <col min="10251" max="10251" width="10.5703125" style="449" bestFit="1" customWidth="1"/>
    <col min="10252" max="10254" width="10.140625" style="449" bestFit="1" customWidth="1"/>
    <col min="10255" max="10255" width="9.28515625" style="449" bestFit="1" customWidth="1"/>
    <col min="10256" max="10257" width="10.140625" style="449" bestFit="1" customWidth="1"/>
    <col min="10258" max="10258" width="9.140625" style="449" bestFit="1" customWidth="1"/>
    <col min="10259" max="10260" width="10.140625" style="449" bestFit="1" customWidth="1"/>
    <col min="10261" max="10261" width="9.140625" style="449" bestFit="1" customWidth="1"/>
    <col min="10262" max="10263" width="10.140625" style="449" bestFit="1" customWidth="1"/>
    <col min="10264" max="10264" width="9.140625" style="449" bestFit="1" customWidth="1"/>
    <col min="10265" max="10265" width="10.140625" style="449" bestFit="1" customWidth="1"/>
    <col min="10266" max="10266" width="7.42578125" style="449" customWidth="1"/>
    <col min="10267" max="10267" width="7.5703125" style="449" bestFit="1" customWidth="1"/>
    <col min="10268" max="10268" width="7.42578125" style="449" customWidth="1"/>
    <col min="10269" max="10269" width="0.7109375" style="449" customWidth="1"/>
    <col min="10270" max="10270" width="7.5703125" style="449" bestFit="1" customWidth="1"/>
    <col min="10271" max="10271" width="6.5703125" style="449" bestFit="1" customWidth="1"/>
    <col min="10272" max="10272" width="10.140625" style="449" bestFit="1" customWidth="1"/>
    <col min="10273" max="10496" width="9.140625" style="449"/>
    <col min="10497" max="10497" width="0.85546875" style="449" customWidth="1"/>
    <col min="10498" max="10498" width="3.42578125" style="449" customWidth="1"/>
    <col min="10499" max="10499" width="63.85546875" style="449" customWidth="1"/>
    <col min="10500" max="10500" width="11.140625" style="449" bestFit="1" customWidth="1"/>
    <col min="10501" max="10501" width="8.42578125" style="449" bestFit="1" customWidth="1"/>
    <col min="10502" max="10502" width="7.5703125" style="449" bestFit="1" customWidth="1"/>
    <col min="10503" max="10503" width="8.42578125" style="449" bestFit="1" customWidth="1"/>
    <col min="10504" max="10504" width="9.42578125" style="449" bestFit="1" customWidth="1"/>
    <col min="10505" max="10506" width="9.140625" style="449" bestFit="1" customWidth="1"/>
    <col min="10507" max="10507" width="10.5703125" style="449" bestFit="1" customWidth="1"/>
    <col min="10508" max="10510" width="10.140625" style="449" bestFit="1" customWidth="1"/>
    <col min="10511" max="10511" width="9.28515625" style="449" bestFit="1" customWidth="1"/>
    <col min="10512" max="10513" width="10.140625" style="449" bestFit="1" customWidth="1"/>
    <col min="10514" max="10514" width="9.140625" style="449" bestFit="1" customWidth="1"/>
    <col min="10515" max="10516" width="10.140625" style="449" bestFit="1" customWidth="1"/>
    <col min="10517" max="10517" width="9.140625" style="449" bestFit="1" customWidth="1"/>
    <col min="10518" max="10519" width="10.140625" style="449" bestFit="1" customWidth="1"/>
    <col min="10520" max="10520" width="9.140625" style="449" bestFit="1" customWidth="1"/>
    <col min="10521" max="10521" width="10.140625" style="449" bestFit="1" customWidth="1"/>
    <col min="10522" max="10522" width="7.42578125" style="449" customWidth="1"/>
    <col min="10523" max="10523" width="7.5703125" style="449" bestFit="1" customWidth="1"/>
    <col min="10524" max="10524" width="7.42578125" style="449" customWidth="1"/>
    <col min="10525" max="10525" width="0.7109375" style="449" customWidth="1"/>
    <col min="10526" max="10526" width="7.5703125" style="449" bestFit="1" customWidth="1"/>
    <col min="10527" max="10527" width="6.5703125" style="449" bestFit="1" customWidth="1"/>
    <col min="10528" max="10528" width="10.140625" style="449" bestFit="1" customWidth="1"/>
    <col min="10529" max="10752" width="9.140625" style="449"/>
    <col min="10753" max="10753" width="0.85546875" style="449" customWidth="1"/>
    <col min="10754" max="10754" width="3.42578125" style="449" customWidth="1"/>
    <col min="10755" max="10755" width="63.85546875" style="449" customWidth="1"/>
    <col min="10756" max="10756" width="11.140625" style="449" bestFit="1" customWidth="1"/>
    <col min="10757" max="10757" width="8.42578125" style="449" bestFit="1" customWidth="1"/>
    <col min="10758" max="10758" width="7.5703125" style="449" bestFit="1" customWidth="1"/>
    <col min="10759" max="10759" width="8.42578125" style="449" bestFit="1" customWidth="1"/>
    <col min="10760" max="10760" width="9.42578125" style="449" bestFit="1" customWidth="1"/>
    <col min="10761" max="10762" width="9.140625" style="449" bestFit="1" customWidth="1"/>
    <col min="10763" max="10763" width="10.5703125" style="449" bestFit="1" customWidth="1"/>
    <col min="10764" max="10766" width="10.140625" style="449" bestFit="1" customWidth="1"/>
    <col min="10767" max="10767" width="9.28515625" style="449" bestFit="1" customWidth="1"/>
    <col min="10768" max="10769" width="10.140625" style="449" bestFit="1" customWidth="1"/>
    <col min="10770" max="10770" width="9.140625" style="449" bestFit="1" customWidth="1"/>
    <col min="10771" max="10772" width="10.140625" style="449" bestFit="1" customWidth="1"/>
    <col min="10773" max="10773" width="9.140625" style="449" bestFit="1" customWidth="1"/>
    <col min="10774" max="10775" width="10.140625" style="449" bestFit="1" customWidth="1"/>
    <col min="10776" max="10776" width="9.140625" style="449" bestFit="1" customWidth="1"/>
    <col min="10777" max="10777" width="10.140625" style="449" bestFit="1" customWidth="1"/>
    <col min="10778" max="10778" width="7.42578125" style="449" customWidth="1"/>
    <col min="10779" max="10779" width="7.5703125" style="449" bestFit="1" customWidth="1"/>
    <col min="10780" max="10780" width="7.42578125" style="449" customWidth="1"/>
    <col min="10781" max="10781" width="0.7109375" style="449" customWidth="1"/>
    <col min="10782" max="10782" width="7.5703125" style="449" bestFit="1" customWidth="1"/>
    <col min="10783" max="10783" width="6.5703125" style="449" bestFit="1" customWidth="1"/>
    <col min="10784" max="10784" width="10.140625" style="449" bestFit="1" customWidth="1"/>
    <col min="10785" max="11008" width="9.140625" style="449"/>
    <col min="11009" max="11009" width="0.85546875" style="449" customWidth="1"/>
    <col min="11010" max="11010" width="3.42578125" style="449" customWidth="1"/>
    <col min="11011" max="11011" width="63.85546875" style="449" customWidth="1"/>
    <col min="11012" max="11012" width="11.140625" style="449" bestFit="1" customWidth="1"/>
    <col min="11013" max="11013" width="8.42578125" style="449" bestFit="1" customWidth="1"/>
    <col min="11014" max="11014" width="7.5703125" style="449" bestFit="1" customWidth="1"/>
    <col min="11015" max="11015" width="8.42578125" style="449" bestFit="1" customWidth="1"/>
    <col min="11016" max="11016" width="9.42578125" style="449" bestFit="1" customWidth="1"/>
    <col min="11017" max="11018" width="9.140625" style="449" bestFit="1" customWidth="1"/>
    <col min="11019" max="11019" width="10.5703125" style="449" bestFit="1" customWidth="1"/>
    <col min="11020" max="11022" width="10.140625" style="449" bestFit="1" customWidth="1"/>
    <col min="11023" max="11023" width="9.28515625" style="449" bestFit="1" customWidth="1"/>
    <col min="11024" max="11025" width="10.140625" style="449" bestFit="1" customWidth="1"/>
    <col min="11026" max="11026" width="9.140625" style="449" bestFit="1" customWidth="1"/>
    <col min="11027" max="11028" width="10.140625" style="449" bestFit="1" customWidth="1"/>
    <col min="11029" max="11029" width="9.140625" style="449" bestFit="1" customWidth="1"/>
    <col min="11030" max="11031" width="10.140625" style="449" bestFit="1" customWidth="1"/>
    <col min="11032" max="11032" width="9.140625" style="449" bestFit="1" customWidth="1"/>
    <col min="11033" max="11033" width="10.140625" style="449" bestFit="1" customWidth="1"/>
    <col min="11034" max="11034" width="7.42578125" style="449" customWidth="1"/>
    <col min="11035" max="11035" width="7.5703125" style="449" bestFit="1" customWidth="1"/>
    <col min="11036" max="11036" width="7.42578125" style="449" customWidth="1"/>
    <col min="11037" max="11037" width="0.7109375" style="449" customWidth="1"/>
    <col min="11038" max="11038" width="7.5703125" style="449" bestFit="1" customWidth="1"/>
    <col min="11039" max="11039" width="6.5703125" style="449" bestFit="1" customWidth="1"/>
    <col min="11040" max="11040" width="10.140625" style="449" bestFit="1" customWidth="1"/>
    <col min="11041" max="11264" width="9.140625" style="449"/>
    <col min="11265" max="11265" width="0.85546875" style="449" customWidth="1"/>
    <col min="11266" max="11266" width="3.42578125" style="449" customWidth="1"/>
    <col min="11267" max="11267" width="63.85546875" style="449" customWidth="1"/>
    <col min="11268" max="11268" width="11.140625" style="449" bestFit="1" customWidth="1"/>
    <col min="11269" max="11269" width="8.42578125" style="449" bestFit="1" customWidth="1"/>
    <col min="11270" max="11270" width="7.5703125" style="449" bestFit="1" customWidth="1"/>
    <col min="11271" max="11271" width="8.42578125" style="449" bestFit="1" customWidth="1"/>
    <col min="11272" max="11272" width="9.42578125" style="449" bestFit="1" customWidth="1"/>
    <col min="11273" max="11274" width="9.140625" style="449" bestFit="1" customWidth="1"/>
    <col min="11275" max="11275" width="10.5703125" style="449" bestFit="1" customWidth="1"/>
    <col min="11276" max="11278" width="10.140625" style="449" bestFit="1" customWidth="1"/>
    <col min="11279" max="11279" width="9.28515625" style="449" bestFit="1" customWidth="1"/>
    <col min="11280" max="11281" width="10.140625" style="449" bestFit="1" customWidth="1"/>
    <col min="11282" max="11282" width="9.140625" style="449" bestFit="1" customWidth="1"/>
    <col min="11283" max="11284" width="10.140625" style="449" bestFit="1" customWidth="1"/>
    <col min="11285" max="11285" width="9.140625" style="449" bestFit="1" customWidth="1"/>
    <col min="11286" max="11287" width="10.140625" style="449" bestFit="1" customWidth="1"/>
    <col min="11288" max="11288" width="9.140625" style="449" bestFit="1" customWidth="1"/>
    <col min="11289" max="11289" width="10.140625" style="449" bestFit="1" customWidth="1"/>
    <col min="11290" max="11290" width="7.42578125" style="449" customWidth="1"/>
    <col min="11291" max="11291" width="7.5703125" style="449" bestFit="1" customWidth="1"/>
    <col min="11292" max="11292" width="7.42578125" style="449" customWidth="1"/>
    <col min="11293" max="11293" width="0.7109375" style="449" customWidth="1"/>
    <col min="11294" max="11294" width="7.5703125" style="449" bestFit="1" customWidth="1"/>
    <col min="11295" max="11295" width="6.5703125" style="449" bestFit="1" customWidth="1"/>
    <col min="11296" max="11296" width="10.140625" style="449" bestFit="1" customWidth="1"/>
    <col min="11297" max="11520" width="9.140625" style="449"/>
    <col min="11521" max="11521" width="0.85546875" style="449" customWidth="1"/>
    <col min="11522" max="11522" width="3.42578125" style="449" customWidth="1"/>
    <col min="11523" max="11523" width="63.85546875" style="449" customWidth="1"/>
    <col min="11524" max="11524" width="11.140625" style="449" bestFit="1" customWidth="1"/>
    <col min="11525" max="11525" width="8.42578125" style="449" bestFit="1" customWidth="1"/>
    <col min="11526" max="11526" width="7.5703125" style="449" bestFit="1" customWidth="1"/>
    <col min="11527" max="11527" width="8.42578125" style="449" bestFit="1" customWidth="1"/>
    <col min="11528" max="11528" width="9.42578125" style="449" bestFit="1" customWidth="1"/>
    <col min="11529" max="11530" width="9.140625" style="449" bestFit="1" customWidth="1"/>
    <col min="11531" max="11531" width="10.5703125" style="449" bestFit="1" customWidth="1"/>
    <col min="11532" max="11534" width="10.140625" style="449" bestFit="1" customWidth="1"/>
    <col min="11535" max="11535" width="9.28515625" style="449" bestFit="1" customWidth="1"/>
    <col min="11536" max="11537" width="10.140625" style="449" bestFit="1" customWidth="1"/>
    <col min="11538" max="11538" width="9.140625" style="449" bestFit="1" customWidth="1"/>
    <col min="11539" max="11540" width="10.140625" style="449" bestFit="1" customWidth="1"/>
    <col min="11541" max="11541" width="9.140625" style="449" bestFit="1" customWidth="1"/>
    <col min="11542" max="11543" width="10.140625" style="449" bestFit="1" customWidth="1"/>
    <col min="11544" max="11544" width="9.140625" style="449" bestFit="1" customWidth="1"/>
    <col min="11545" max="11545" width="10.140625" style="449" bestFit="1" customWidth="1"/>
    <col min="11546" max="11546" width="7.42578125" style="449" customWidth="1"/>
    <col min="11547" max="11547" width="7.5703125" style="449" bestFit="1" customWidth="1"/>
    <col min="11548" max="11548" width="7.42578125" style="449" customWidth="1"/>
    <col min="11549" max="11549" width="0.7109375" style="449" customWidth="1"/>
    <col min="11550" max="11550" width="7.5703125" style="449" bestFit="1" customWidth="1"/>
    <col min="11551" max="11551" width="6.5703125" style="449" bestFit="1" customWidth="1"/>
    <col min="11552" max="11552" width="10.140625" style="449" bestFit="1" customWidth="1"/>
    <col min="11553" max="11776" width="9.140625" style="449"/>
    <col min="11777" max="11777" width="0.85546875" style="449" customWidth="1"/>
    <col min="11778" max="11778" width="3.42578125" style="449" customWidth="1"/>
    <col min="11779" max="11779" width="63.85546875" style="449" customWidth="1"/>
    <col min="11780" max="11780" width="11.140625" style="449" bestFit="1" customWidth="1"/>
    <col min="11781" max="11781" width="8.42578125" style="449" bestFit="1" customWidth="1"/>
    <col min="11782" max="11782" width="7.5703125" style="449" bestFit="1" customWidth="1"/>
    <col min="11783" max="11783" width="8.42578125" style="449" bestFit="1" customWidth="1"/>
    <col min="11784" max="11784" width="9.42578125" style="449" bestFit="1" customWidth="1"/>
    <col min="11785" max="11786" width="9.140625" style="449" bestFit="1" customWidth="1"/>
    <col min="11787" max="11787" width="10.5703125" style="449" bestFit="1" customWidth="1"/>
    <col min="11788" max="11790" width="10.140625" style="449" bestFit="1" customWidth="1"/>
    <col min="11791" max="11791" width="9.28515625" style="449" bestFit="1" customWidth="1"/>
    <col min="11792" max="11793" width="10.140625" style="449" bestFit="1" customWidth="1"/>
    <col min="11794" max="11794" width="9.140625" style="449" bestFit="1" customWidth="1"/>
    <col min="11795" max="11796" width="10.140625" style="449" bestFit="1" customWidth="1"/>
    <col min="11797" max="11797" width="9.140625" style="449" bestFit="1" customWidth="1"/>
    <col min="11798" max="11799" width="10.140625" style="449" bestFit="1" customWidth="1"/>
    <col min="11800" max="11800" width="9.140625" style="449" bestFit="1" customWidth="1"/>
    <col min="11801" max="11801" width="10.140625" style="449" bestFit="1" customWidth="1"/>
    <col min="11802" max="11802" width="7.42578125" style="449" customWidth="1"/>
    <col min="11803" max="11803" width="7.5703125" style="449" bestFit="1" customWidth="1"/>
    <col min="11804" max="11804" width="7.42578125" style="449" customWidth="1"/>
    <col min="11805" max="11805" width="0.7109375" style="449" customWidth="1"/>
    <col min="11806" max="11806" width="7.5703125" style="449" bestFit="1" customWidth="1"/>
    <col min="11807" max="11807" width="6.5703125" style="449" bestFit="1" customWidth="1"/>
    <col min="11808" max="11808" width="10.140625" style="449" bestFit="1" customWidth="1"/>
    <col min="11809" max="12032" width="9.140625" style="449"/>
    <col min="12033" max="12033" width="0.85546875" style="449" customWidth="1"/>
    <col min="12034" max="12034" width="3.42578125" style="449" customWidth="1"/>
    <col min="12035" max="12035" width="63.85546875" style="449" customWidth="1"/>
    <col min="12036" max="12036" width="11.140625" style="449" bestFit="1" customWidth="1"/>
    <col min="12037" max="12037" width="8.42578125" style="449" bestFit="1" customWidth="1"/>
    <col min="12038" max="12038" width="7.5703125" style="449" bestFit="1" customWidth="1"/>
    <col min="12039" max="12039" width="8.42578125" style="449" bestFit="1" customWidth="1"/>
    <col min="12040" max="12040" width="9.42578125" style="449" bestFit="1" customWidth="1"/>
    <col min="12041" max="12042" width="9.140625" style="449" bestFit="1" customWidth="1"/>
    <col min="12043" max="12043" width="10.5703125" style="449" bestFit="1" customWidth="1"/>
    <col min="12044" max="12046" width="10.140625" style="449" bestFit="1" customWidth="1"/>
    <col min="12047" max="12047" width="9.28515625" style="449" bestFit="1" customWidth="1"/>
    <col min="12048" max="12049" width="10.140625" style="449" bestFit="1" customWidth="1"/>
    <col min="12050" max="12050" width="9.140625" style="449" bestFit="1" customWidth="1"/>
    <col min="12051" max="12052" width="10.140625" style="449" bestFit="1" customWidth="1"/>
    <col min="12053" max="12053" width="9.140625" style="449" bestFit="1" customWidth="1"/>
    <col min="12054" max="12055" width="10.140625" style="449" bestFit="1" customWidth="1"/>
    <col min="12056" max="12056" width="9.140625" style="449" bestFit="1" customWidth="1"/>
    <col min="12057" max="12057" width="10.140625" style="449" bestFit="1" customWidth="1"/>
    <col min="12058" max="12058" width="7.42578125" style="449" customWidth="1"/>
    <col min="12059" max="12059" width="7.5703125" style="449" bestFit="1" customWidth="1"/>
    <col min="12060" max="12060" width="7.42578125" style="449" customWidth="1"/>
    <col min="12061" max="12061" width="0.7109375" style="449" customWidth="1"/>
    <col min="12062" max="12062" width="7.5703125" style="449" bestFit="1" customWidth="1"/>
    <col min="12063" max="12063" width="6.5703125" style="449" bestFit="1" customWidth="1"/>
    <col min="12064" max="12064" width="10.140625" style="449" bestFit="1" customWidth="1"/>
    <col min="12065" max="12288" width="9.140625" style="449"/>
    <col min="12289" max="12289" width="0.85546875" style="449" customWidth="1"/>
    <col min="12290" max="12290" width="3.42578125" style="449" customWidth="1"/>
    <col min="12291" max="12291" width="63.85546875" style="449" customWidth="1"/>
    <col min="12292" max="12292" width="11.140625" style="449" bestFit="1" customWidth="1"/>
    <col min="12293" max="12293" width="8.42578125" style="449" bestFit="1" customWidth="1"/>
    <col min="12294" max="12294" width="7.5703125" style="449" bestFit="1" customWidth="1"/>
    <col min="12295" max="12295" width="8.42578125" style="449" bestFit="1" customWidth="1"/>
    <col min="12296" max="12296" width="9.42578125" style="449" bestFit="1" customWidth="1"/>
    <col min="12297" max="12298" width="9.140625" style="449" bestFit="1" customWidth="1"/>
    <col min="12299" max="12299" width="10.5703125" style="449" bestFit="1" customWidth="1"/>
    <col min="12300" max="12302" width="10.140625" style="449" bestFit="1" customWidth="1"/>
    <col min="12303" max="12303" width="9.28515625" style="449" bestFit="1" customWidth="1"/>
    <col min="12304" max="12305" width="10.140625" style="449" bestFit="1" customWidth="1"/>
    <col min="12306" max="12306" width="9.140625" style="449" bestFit="1" customWidth="1"/>
    <col min="12307" max="12308" width="10.140625" style="449" bestFit="1" customWidth="1"/>
    <col min="12309" max="12309" width="9.140625" style="449" bestFit="1" customWidth="1"/>
    <col min="12310" max="12311" width="10.140625" style="449" bestFit="1" customWidth="1"/>
    <col min="12312" max="12312" width="9.140625" style="449" bestFit="1" customWidth="1"/>
    <col min="12313" max="12313" width="10.140625" style="449" bestFit="1" customWidth="1"/>
    <col min="12314" max="12314" width="7.42578125" style="449" customWidth="1"/>
    <col min="12315" max="12315" width="7.5703125" style="449" bestFit="1" customWidth="1"/>
    <col min="12316" max="12316" width="7.42578125" style="449" customWidth="1"/>
    <col min="12317" max="12317" width="0.7109375" style="449" customWidth="1"/>
    <col min="12318" max="12318" width="7.5703125" style="449" bestFit="1" customWidth="1"/>
    <col min="12319" max="12319" width="6.5703125" style="449" bestFit="1" customWidth="1"/>
    <col min="12320" max="12320" width="10.140625" style="449" bestFit="1" customWidth="1"/>
    <col min="12321" max="12544" width="9.140625" style="449"/>
    <col min="12545" max="12545" width="0.85546875" style="449" customWidth="1"/>
    <col min="12546" max="12546" width="3.42578125" style="449" customWidth="1"/>
    <col min="12547" max="12547" width="63.85546875" style="449" customWidth="1"/>
    <col min="12548" max="12548" width="11.140625" style="449" bestFit="1" customWidth="1"/>
    <col min="12549" max="12549" width="8.42578125" style="449" bestFit="1" customWidth="1"/>
    <col min="12550" max="12550" width="7.5703125" style="449" bestFit="1" customWidth="1"/>
    <col min="12551" max="12551" width="8.42578125" style="449" bestFit="1" customWidth="1"/>
    <col min="12552" max="12552" width="9.42578125" style="449" bestFit="1" customWidth="1"/>
    <col min="12553" max="12554" width="9.140625" style="449" bestFit="1" customWidth="1"/>
    <col min="12555" max="12555" width="10.5703125" style="449" bestFit="1" customWidth="1"/>
    <col min="12556" max="12558" width="10.140625" style="449" bestFit="1" customWidth="1"/>
    <col min="12559" max="12559" width="9.28515625" style="449" bestFit="1" customWidth="1"/>
    <col min="12560" max="12561" width="10.140625" style="449" bestFit="1" customWidth="1"/>
    <col min="12562" max="12562" width="9.140625" style="449" bestFit="1" customWidth="1"/>
    <col min="12563" max="12564" width="10.140625" style="449" bestFit="1" customWidth="1"/>
    <col min="12565" max="12565" width="9.140625" style="449" bestFit="1" customWidth="1"/>
    <col min="12566" max="12567" width="10.140625" style="449" bestFit="1" customWidth="1"/>
    <col min="12568" max="12568" width="9.140625" style="449" bestFit="1" customWidth="1"/>
    <col min="12569" max="12569" width="10.140625" style="449" bestFit="1" customWidth="1"/>
    <col min="12570" max="12570" width="7.42578125" style="449" customWidth="1"/>
    <col min="12571" max="12571" width="7.5703125" style="449" bestFit="1" customWidth="1"/>
    <col min="12572" max="12572" width="7.42578125" style="449" customWidth="1"/>
    <col min="12573" max="12573" width="0.7109375" style="449" customWidth="1"/>
    <col min="12574" max="12574" width="7.5703125" style="449" bestFit="1" customWidth="1"/>
    <col min="12575" max="12575" width="6.5703125" style="449" bestFit="1" customWidth="1"/>
    <col min="12576" max="12576" width="10.140625" style="449" bestFit="1" customWidth="1"/>
    <col min="12577" max="12800" width="9.140625" style="449"/>
    <col min="12801" max="12801" width="0.85546875" style="449" customWidth="1"/>
    <col min="12802" max="12802" width="3.42578125" style="449" customWidth="1"/>
    <col min="12803" max="12803" width="63.85546875" style="449" customWidth="1"/>
    <col min="12804" max="12804" width="11.140625" style="449" bestFit="1" customWidth="1"/>
    <col min="12805" max="12805" width="8.42578125" style="449" bestFit="1" customWidth="1"/>
    <col min="12806" max="12806" width="7.5703125" style="449" bestFit="1" customWidth="1"/>
    <col min="12807" max="12807" width="8.42578125" style="449" bestFit="1" customWidth="1"/>
    <col min="12808" max="12808" width="9.42578125" style="449" bestFit="1" customWidth="1"/>
    <col min="12809" max="12810" width="9.140625" style="449" bestFit="1" customWidth="1"/>
    <col min="12811" max="12811" width="10.5703125" style="449" bestFit="1" customWidth="1"/>
    <col min="12812" max="12814" width="10.140625" style="449" bestFit="1" customWidth="1"/>
    <col min="12815" max="12815" width="9.28515625" style="449" bestFit="1" customWidth="1"/>
    <col min="12816" max="12817" width="10.140625" style="449" bestFit="1" customWidth="1"/>
    <col min="12818" max="12818" width="9.140625" style="449" bestFit="1" customWidth="1"/>
    <col min="12819" max="12820" width="10.140625" style="449" bestFit="1" customWidth="1"/>
    <col min="12821" max="12821" width="9.140625" style="449" bestFit="1" customWidth="1"/>
    <col min="12822" max="12823" width="10.140625" style="449" bestFit="1" customWidth="1"/>
    <col min="12824" max="12824" width="9.140625" style="449" bestFit="1" customWidth="1"/>
    <col min="12825" max="12825" width="10.140625" style="449" bestFit="1" customWidth="1"/>
    <col min="12826" max="12826" width="7.42578125" style="449" customWidth="1"/>
    <col min="12827" max="12827" width="7.5703125" style="449" bestFit="1" customWidth="1"/>
    <col min="12828" max="12828" width="7.42578125" style="449" customWidth="1"/>
    <col min="12829" max="12829" width="0.7109375" style="449" customWidth="1"/>
    <col min="12830" max="12830" width="7.5703125" style="449" bestFit="1" customWidth="1"/>
    <col min="12831" max="12831" width="6.5703125" style="449" bestFit="1" customWidth="1"/>
    <col min="12832" max="12832" width="10.140625" style="449" bestFit="1" customWidth="1"/>
    <col min="12833" max="13056" width="9.140625" style="449"/>
    <col min="13057" max="13057" width="0.85546875" style="449" customWidth="1"/>
    <col min="13058" max="13058" width="3.42578125" style="449" customWidth="1"/>
    <col min="13059" max="13059" width="63.85546875" style="449" customWidth="1"/>
    <col min="13060" max="13060" width="11.140625" style="449" bestFit="1" customWidth="1"/>
    <col min="13061" max="13061" width="8.42578125" style="449" bestFit="1" customWidth="1"/>
    <col min="13062" max="13062" width="7.5703125" style="449" bestFit="1" customWidth="1"/>
    <col min="13063" max="13063" width="8.42578125" style="449" bestFit="1" customWidth="1"/>
    <col min="13064" max="13064" width="9.42578125" style="449" bestFit="1" customWidth="1"/>
    <col min="13065" max="13066" width="9.140625" style="449" bestFit="1" customWidth="1"/>
    <col min="13067" max="13067" width="10.5703125" style="449" bestFit="1" customWidth="1"/>
    <col min="13068" max="13070" width="10.140625" style="449" bestFit="1" customWidth="1"/>
    <col min="13071" max="13071" width="9.28515625" style="449" bestFit="1" customWidth="1"/>
    <col min="13072" max="13073" width="10.140625" style="449" bestFit="1" customWidth="1"/>
    <col min="13074" max="13074" width="9.140625" style="449" bestFit="1" customWidth="1"/>
    <col min="13075" max="13076" width="10.140625" style="449" bestFit="1" customWidth="1"/>
    <col min="13077" max="13077" width="9.140625" style="449" bestFit="1" customWidth="1"/>
    <col min="13078" max="13079" width="10.140625" style="449" bestFit="1" customWidth="1"/>
    <col min="13080" max="13080" width="9.140625" style="449" bestFit="1" customWidth="1"/>
    <col min="13081" max="13081" width="10.140625" style="449" bestFit="1" customWidth="1"/>
    <col min="13082" max="13082" width="7.42578125" style="449" customWidth="1"/>
    <col min="13083" max="13083" width="7.5703125" style="449" bestFit="1" customWidth="1"/>
    <col min="13084" max="13084" width="7.42578125" style="449" customWidth="1"/>
    <col min="13085" max="13085" width="0.7109375" style="449" customWidth="1"/>
    <col min="13086" max="13086" width="7.5703125" style="449" bestFit="1" customWidth="1"/>
    <col min="13087" max="13087" width="6.5703125" style="449" bestFit="1" customWidth="1"/>
    <col min="13088" max="13088" width="10.140625" style="449" bestFit="1" customWidth="1"/>
    <col min="13089" max="13312" width="9.140625" style="449"/>
    <col min="13313" max="13313" width="0.85546875" style="449" customWidth="1"/>
    <col min="13314" max="13314" width="3.42578125" style="449" customWidth="1"/>
    <col min="13315" max="13315" width="63.85546875" style="449" customWidth="1"/>
    <col min="13316" max="13316" width="11.140625" style="449" bestFit="1" customWidth="1"/>
    <col min="13317" max="13317" width="8.42578125" style="449" bestFit="1" customWidth="1"/>
    <col min="13318" max="13318" width="7.5703125" style="449" bestFit="1" customWidth="1"/>
    <col min="13319" max="13319" width="8.42578125" style="449" bestFit="1" customWidth="1"/>
    <col min="13320" max="13320" width="9.42578125" style="449" bestFit="1" customWidth="1"/>
    <col min="13321" max="13322" width="9.140625" style="449" bestFit="1" customWidth="1"/>
    <col min="13323" max="13323" width="10.5703125" style="449" bestFit="1" customWidth="1"/>
    <col min="13324" max="13326" width="10.140625" style="449" bestFit="1" customWidth="1"/>
    <col min="13327" max="13327" width="9.28515625" style="449" bestFit="1" customWidth="1"/>
    <col min="13328" max="13329" width="10.140625" style="449" bestFit="1" customWidth="1"/>
    <col min="13330" max="13330" width="9.140625" style="449" bestFit="1" customWidth="1"/>
    <col min="13331" max="13332" width="10.140625" style="449" bestFit="1" customWidth="1"/>
    <col min="13333" max="13333" width="9.140625" style="449" bestFit="1" customWidth="1"/>
    <col min="13334" max="13335" width="10.140625" style="449" bestFit="1" customWidth="1"/>
    <col min="13336" max="13336" width="9.140625" style="449" bestFit="1" customWidth="1"/>
    <col min="13337" max="13337" width="10.140625" style="449" bestFit="1" customWidth="1"/>
    <col min="13338" max="13338" width="7.42578125" style="449" customWidth="1"/>
    <col min="13339" max="13339" width="7.5703125" style="449" bestFit="1" customWidth="1"/>
    <col min="13340" max="13340" width="7.42578125" style="449" customWidth="1"/>
    <col min="13341" max="13341" width="0.7109375" style="449" customWidth="1"/>
    <col min="13342" max="13342" width="7.5703125" style="449" bestFit="1" customWidth="1"/>
    <col min="13343" max="13343" width="6.5703125" style="449" bestFit="1" customWidth="1"/>
    <col min="13344" max="13344" width="10.140625" style="449" bestFit="1" customWidth="1"/>
    <col min="13345" max="13568" width="9.140625" style="449"/>
    <col min="13569" max="13569" width="0.85546875" style="449" customWidth="1"/>
    <col min="13570" max="13570" width="3.42578125" style="449" customWidth="1"/>
    <col min="13571" max="13571" width="63.85546875" style="449" customWidth="1"/>
    <col min="13572" max="13572" width="11.140625" style="449" bestFit="1" customWidth="1"/>
    <col min="13573" max="13573" width="8.42578125" style="449" bestFit="1" customWidth="1"/>
    <col min="13574" max="13574" width="7.5703125" style="449" bestFit="1" customWidth="1"/>
    <col min="13575" max="13575" width="8.42578125" style="449" bestFit="1" customWidth="1"/>
    <col min="13576" max="13576" width="9.42578125" style="449" bestFit="1" customWidth="1"/>
    <col min="13577" max="13578" width="9.140625" style="449" bestFit="1" customWidth="1"/>
    <col min="13579" max="13579" width="10.5703125" style="449" bestFit="1" customWidth="1"/>
    <col min="13580" max="13582" width="10.140625" style="449" bestFit="1" customWidth="1"/>
    <col min="13583" max="13583" width="9.28515625" style="449" bestFit="1" customWidth="1"/>
    <col min="13584" max="13585" width="10.140625" style="449" bestFit="1" customWidth="1"/>
    <col min="13586" max="13586" width="9.140625" style="449" bestFit="1" customWidth="1"/>
    <col min="13587" max="13588" width="10.140625" style="449" bestFit="1" customWidth="1"/>
    <col min="13589" max="13589" width="9.140625" style="449" bestFit="1" customWidth="1"/>
    <col min="13590" max="13591" width="10.140625" style="449" bestFit="1" customWidth="1"/>
    <col min="13592" max="13592" width="9.140625" style="449" bestFit="1" customWidth="1"/>
    <col min="13593" max="13593" width="10.140625" style="449" bestFit="1" customWidth="1"/>
    <col min="13594" max="13594" width="7.42578125" style="449" customWidth="1"/>
    <col min="13595" max="13595" width="7.5703125" style="449" bestFit="1" customWidth="1"/>
    <col min="13596" max="13596" width="7.42578125" style="449" customWidth="1"/>
    <col min="13597" max="13597" width="0.7109375" style="449" customWidth="1"/>
    <col min="13598" max="13598" width="7.5703125" style="449" bestFit="1" customWidth="1"/>
    <col min="13599" max="13599" width="6.5703125" style="449" bestFit="1" customWidth="1"/>
    <col min="13600" max="13600" width="10.140625" style="449" bestFit="1" customWidth="1"/>
    <col min="13601" max="13824" width="9.140625" style="449"/>
    <col min="13825" max="13825" width="0.85546875" style="449" customWidth="1"/>
    <col min="13826" max="13826" width="3.42578125" style="449" customWidth="1"/>
    <col min="13827" max="13827" width="63.85546875" style="449" customWidth="1"/>
    <col min="13828" max="13828" width="11.140625" style="449" bestFit="1" customWidth="1"/>
    <col min="13829" max="13829" width="8.42578125" style="449" bestFit="1" customWidth="1"/>
    <col min="13830" max="13830" width="7.5703125" style="449" bestFit="1" customWidth="1"/>
    <col min="13831" max="13831" width="8.42578125" style="449" bestFit="1" customWidth="1"/>
    <col min="13832" max="13832" width="9.42578125" style="449" bestFit="1" customWidth="1"/>
    <col min="13833" max="13834" width="9.140625" style="449" bestFit="1" customWidth="1"/>
    <col min="13835" max="13835" width="10.5703125" style="449" bestFit="1" customWidth="1"/>
    <col min="13836" max="13838" width="10.140625" style="449" bestFit="1" customWidth="1"/>
    <col min="13839" max="13839" width="9.28515625" style="449" bestFit="1" customWidth="1"/>
    <col min="13840" max="13841" width="10.140625" style="449" bestFit="1" customWidth="1"/>
    <col min="13842" max="13842" width="9.140625" style="449" bestFit="1" customWidth="1"/>
    <col min="13843" max="13844" width="10.140625" style="449" bestFit="1" customWidth="1"/>
    <col min="13845" max="13845" width="9.140625" style="449" bestFit="1" customWidth="1"/>
    <col min="13846" max="13847" width="10.140625" style="449" bestFit="1" customWidth="1"/>
    <col min="13848" max="13848" width="9.140625" style="449" bestFit="1" customWidth="1"/>
    <col min="13849" max="13849" width="10.140625" style="449" bestFit="1" customWidth="1"/>
    <col min="13850" max="13850" width="7.42578125" style="449" customWidth="1"/>
    <col min="13851" max="13851" width="7.5703125" style="449" bestFit="1" customWidth="1"/>
    <col min="13852" max="13852" width="7.42578125" style="449" customWidth="1"/>
    <col min="13853" max="13853" width="0.7109375" style="449" customWidth="1"/>
    <col min="13854" max="13854" width="7.5703125" style="449" bestFit="1" customWidth="1"/>
    <col min="13855" max="13855" width="6.5703125" style="449" bestFit="1" customWidth="1"/>
    <col min="13856" max="13856" width="10.140625" style="449" bestFit="1" customWidth="1"/>
    <col min="13857" max="14080" width="9.140625" style="449"/>
    <col min="14081" max="14081" width="0.85546875" style="449" customWidth="1"/>
    <col min="14082" max="14082" width="3.42578125" style="449" customWidth="1"/>
    <col min="14083" max="14083" width="63.85546875" style="449" customWidth="1"/>
    <col min="14084" max="14084" width="11.140625" style="449" bestFit="1" customWidth="1"/>
    <col min="14085" max="14085" width="8.42578125" style="449" bestFit="1" customWidth="1"/>
    <col min="14086" max="14086" width="7.5703125" style="449" bestFit="1" customWidth="1"/>
    <col min="14087" max="14087" width="8.42578125" style="449" bestFit="1" customWidth="1"/>
    <col min="14088" max="14088" width="9.42578125" style="449" bestFit="1" customWidth="1"/>
    <col min="14089" max="14090" width="9.140625" style="449" bestFit="1" customWidth="1"/>
    <col min="14091" max="14091" width="10.5703125" style="449" bestFit="1" customWidth="1"/>
    <col min="14092" max="14094" width="10.140625" style="449" bestFit="1" customWidth="1"/>
    <col min="14095" max="14095" width="9.28515625" style="449" bestFit="1" customWidth="1"/>
    <col min="14096" max="14097" width="10.140625" style="449" bestFit="1" customWidth="1"/>
    <col min="14098" max="14098" width="9.140625" style="449" bestFit="1" customWidth="1"/>
    <col min="14099" max="14100" width="10.140625" style="449" bestFit="1" customWidth="1"/>
    <col min="14101" max="14101" width="9.140625" style="449" bestFit="1" customWidth="1"/>
    <col min="14102" max="14103" width="10.140625" style="449" bestFit="1" customWidth="1"/>
    <col min="14104" max="14104" width="9.140625" style="449" bestFit="1" customWidth="1"/>
    <col min="14105" max="14105" width="10.140625" style="449" bestFit="1" customWidth="1"/>
    <col min="14106" max="14106" width="7.42578125" style="449" customWidth="1"/>
    <col min="14107" max="14107" width="7.5703125" style="449" bestFit="1" customWidth="1"/>
    <col min="14108" max="14108" width="7.42578125" style="449" customWidth="1"/>
    <col min="14109" max="14109" width="0.7109375" style="449" customWidth="1"/>
    <col min="14110" max="14110" width="7.5703125" style="449" bestFit="1" customWidth="1"/>
    <col min="14111" max="14111" width="6.5703125" style="449" bestFit="1" customWidth="1"/>
    <col min="14112" max="14112" width="10.140625" style="449" bestFit="1" customWidth="1"/>
    <col min="14113" max="14336" width="9.140625" style="449"/>
    <col min="14337" max="14337" width="0.85546875" style="449" customWidth="1"/>
    <col min="14338" max="14338" width="3.42578125" style="449" customWidth="1"/>
    <col min="14339" max="14339" width="63.85546875" style="449" customWidth="1"/>
    <col min="14340" max="14340" width="11.140625" style="449" bestFit="1" customWidth="1"/>
    <col min="14341" max="14341" width="8.42578125" style="449" bestFit="1" customWidth="1"/>
    <col min="14342" max="14342" width="7.5703125" style="449" bestFit="1" customWidth="1"/>
    <col min="14343" max="14343" width="8.42578125" style="449" bestFit="1" customWidth="1"/>
    <col min="14344" max="14344" width="9.42578125" style="449" bestFit="1" customWidth="1"/>
    <col min="14345" max="14346" width="9.140625" style="449" bestFit="1" customWidth="1"/>
    <col min="14347" max="14347" width="10.5703125" style="449" bestFit="1" customWidth="1"/>
    <col min="14348" max="14350" width="10.140625" style="449" bestFit="1" customWidth="1"/>
    <col min="14351" max="14351" width="9.28515625" style="449" bestFit="1" customWidth="1"/>
    <col min="14352" max="14353" width="10.140625" style="449" bestFit="1" customWidth="1"/>
    <col min="14354" max="14354" width="9.140625" style="449" bestFit="1" customWidth="1"/>
    <col min="14355" max="14356" width="10.140625" style="449" bestFit="1" customWidth="1"/>
    <col min="14357" max="14357" width="9.140625" style="449" bestFit="1" customWidth="1"/>
    <col min="14358" max="14359" width="10.140625" style="449" bestFit="1" customWidth="1"/>
    <col min="14360" max="14360" width="9.140625" style="449" bestFit="1" customWidth="1"/>
    <col min="14361" max="14361" width="10.140625" style="449" bestFit="1" customWidth="1"/>
    <col min="14362" max="14362" width="7.42578125" style="449" customWidth="1"/>
    <col min="14363" max="14363" width="7.5703125" style="449" bestFit="1" customWidth="1"/>
    <col min="14364" max="14364" width="7.42578125" style="449" customWidth="1"/>
    <col min="14365" max="14365" width="0.7109375" style="449" customWidth="1"/>
    <col min="14366" max="14366" width="7.5703125" style="449" bestFit="1" customWidth="1"/>
    <col min="14367" max="14367" width="6.5703125" style="449" bestFit="1" customWidth="1"/>
    <col min="14368" max="14368" width="10.140625" style="449" bestFit="1" customWidth="1"/>
    <col min="14369" max="14592" width="9.140625" style="449"/>
    <col min="14593" max="14593" width="0.85546875" style="449" customWidth="1"/>
    <col min="14594" max="14594" width="3.42578125" style="449" customWidth="1"/>
    <col min="14595" max="14595" width="63.85546875" style="449" customWidth="1"/>
    <col min="14596" max="14596" width="11.140625" style="449" bestFit="1" customWidth="1"/>
    <col min="14597" max="14597" width="8.42578125" style="449" bestFit="1" customWidth="1"/>
    <col min="14598" max="14598" width="7.5703125" style="449" bestFit="1" customWidth="1"/>
    <col min="14599" max="14599" width="8.42578125" style="449" bestFit="1" customWidth="1"/>
    <col min="14600" max="14600" width="9.42578125" style="449" bestFit="1" customWidth="1"/>
    <col min="14601" max="14602" width="9.140625" style="449" bestFit="1" customWidth="1"/>
    <col min="14603" max="14603" width="10.5703125" style="449" bestFit="1" customWidth="1"/>
    <col min="14604" max="14606" width="10.140625" style="449" bestFit="1" customWidth="1"/>
    <col min="14607" max="14607" width="9.28515625" style="449" bestFit="1" customWidth="1"/>
    <col min="14608" max="14609" width="10.140625" style="449" bestFit="1" customWidth="1"/>
    <col min="14610" max="14610" width="9.140625" style="449" bestFit="1" customWidth="1"/>
    <col min="14611" max="14612" width="10.140625" style="449" bestFit="1" customWidth="1"/>
    <col min="14613" max="14613" width="9.140625" style="449" bestFit="1" customWidth="1"/>
    <col min="14614" max="14615" width="10.140625" style="449" bestFit="1" customWidth="1"/>
    <col min="14616" max="14616" width="9.140625" style="449" bestFit="1" customWidth="1"/>
    <col min="14617" max="14617" width="10.140625" style="449" bestFit="1" customWidth="1"/>
    <col min="14618" max="14618" width="7.42578125" style="449" customWidth="1"/>
    <col min="14619" max="14619" width="7.5703125" style="449" bestFit="1" customWidth="1"/>
    <col min="14620" max="14620" width="7.42578125" style="449" customWidth="1"/>
    <col min="14621" max="14621" width="0.7109375" style="449" customWidth="1"/>
    <col min="14622" max="14622" width="7.5703125" style="449" bestFit="1" customWidth="1"/>
    <col min="14623" max="14623" width="6.5703125" style="449" bestFit="1" customWidth="1"/>
    <col min="14624" max="14624" width="10.140625" style="449" bestFit="1" customWidth="1"/>
    <col min="14625" max="14848" width="9.140625" style="449"/>
    <col min="14849" max="14849" width="0.85546875" style="449" customWidth="1"/>
    <col min="14850" max="14850" width="3.42578125" style="449" customWidth="1"/>
    <col min="14851" max="14851" width="63.85546875" style="449" customWidth="1"/>
    <col min="14852" max="14852" width="11.140625" style="449" bestFit="1" customWidth="1"/>
    <col min="14853" max="14853" width="8.42578125" style="449" bestFit="1" customWidth="1"/>
    <col min="14854" max="14854" width="7.5703125" style="449" bestFit="1" customWidth="1"/>
    <col min="14855" max="14855" width="8.42578125" style="449" bestFit="1" customWidth="1"/>
    <col min="14856" max="14856" width="9.42578125" style="449" bestFit="1" customWidth="1"/>
    <col min="14857" max="14858" width="9.140625" style="449" bestFit="1" customWidth="1"/>
    <col min="14859" max="14859" width="10.5703125" style="449" bestFit="1" customWidth="1"/>
    <col min="14860" max="14862" width="10.140625" style="449" bestFit="1" customWidth="1"/>
    <col min="14863" max="14863" width="9.28515625" style="449" bestFit="1" customWidth="1"/>
    <col min="14864" max="14865" width="10.140625" style="449" bestFit="1" customWidth="1"/>
    <col min="14866" max="14866" width="9.140625" style="449" bestFit="1" customWidth="1"/>
    <col min="14867" max="14868" width="10.140625" style="449" bestFit="1" customWidth="1"/>
    <col min="14869" max="14869" width="9.140625" style="449" bestFit="1" customWidth="1"/>
    <col min="14870" max="14871" width="10.140625" style="449" bestFit="1" customWidth="1"/>
    <col min="14872" max="14872" width="9.140625" style="449" bestFit="1" customWidth="1"/>
    <col min="14873" max="14873" width="10.140625" style="449" bestFit="1" customWidth="1"/>
    <col min="14874" max="14874" width="7.42578125" style="449" customWidth="1"/>
    <col min="14875" max="14875" width="7.5703125" style="449" bestFit="1" customWidth="1"/>
    <col min="14876" max="14876" width="7.42578125" style="449" customWidth="1"/>
    <col min="14877" max="14877" width="0.7109375" style="449" customWidth="1"/>
    <col min="14878" max="14878" width="7.5703125" style="449" bestFit="1" customWidth="1"/>
    <col min="14879" max="14879" width="6.5703125" style="449" bestFit="1" customWidth="1"/>
    <col min="14880" max="14880" width="10.140625" style="449" bestFit="1" customWidth="1"/>
    <col min="14881" max="15104" width="9.140625" style="449"/>
    <col min="15105" max="15105" width="0.85546875" style="449" customWidth="1"/>
    <col min="15106" max="15106" width="3.42578125" style="449" customWidth="1"/>
    <col min="15107" max="15107" width="63.85546875" style="449" customWidth="1"/>
    <col min="15108" max="15108" width="11.140625" style="449" bestFit="1" customWidth="1"/>
    <col min="15109" max="15109" width="8.42578125" style="449" bestFit="1" customWidth="1"/>
    <col min="15110" max="15110" width="7.5703125" style="449" bestFit="1" customWidth="1"/>
    <col min="15111" max="15111" width="8.42578125" style="449" bestFit="1" customWidth="1"/>
    <col min="15112" max="15112" width="9.42578125" style="449" bestFit="1" customWidth="1"/>
    <col min="15113" max="15114" width="9.140625" style="449" bestFit="1" customWidth="1"/>
    <col min="15115" max="15115" width="10.5703125" style="449" bestFit="1" customWidth="1"/>
    <col min="15116" max="15118" width="10.140625" style="449" bestFit="1" customWidth="1"/>
    <col min="15119" max="15119" width="9.28515625" style="449" bestFit="1" customWidth="1"/>
    <col min="15120" max="15121" width="10.140625" style="449" bestFit="1" customWidth="1"/>
    <col min="15122" max="15122" width="9.140625" style="449" bestFit="1" customWidth="1"/>
    <col min="15123" max="15124" width="10.140625" style="449" bestFit="1" customWidth="1"/>
    <col min="15125" max="15125" width="9.140625" style="449" bestFit="1" customWidth="1"/>
    <col min="15126" max="15127" width="10.140625" style="449" bestFit="1" customWidth="1"/>
    <col min="15128" max="15128" width="9.140625" style="449" bestFit="1" customWidth="1"/>
    <col min="15129" max="15129" width="10.140625" style="449" bestFit="1" customWidth="1"/>
    <col min="15130" max="15130" width="7.42578125" style="449" customWidth="1"/>
    <col min="15131" max="15131" width="7.5703125" style="449" bestFit="1" customWidth="1"/>
    <col min="15132" max="15132" width="7.42578125" style="449" customWidth="1"/>
    <col min="15133" max="15133" width="0.7109375" style="449" customWidth="1"/>
    <col min="15134" max="15134" width="7.5703125" style="449" bestFit="1" customWidth="1"/>
    <col min="15135" max="15135" width="6.5703125" style="449" bestFit="1" customWidth="1"/>
    <col min="15136" max="15136" width="10.140625" style="449" bestFit="1" customWidth="1"/>
    <col min="15137" max="15360" width="9.140625" style="449"/>
    <col min="15361" max="15361" width="0.85546875" style="449" customWidth="1"/>
    <col min="15362" max="15362" width="3.42578125" style="449" customWidth="1"/>
    <col min="15363" max="15363" width="63.85546875" style="449" customWidth="1"/>
    <col min="15364" max="15364" width="11.140625" style="449" bestFit="1" customWidth="1"/>
    <col min="15365" max="15365" width="8.42578125" style="449" bestFit="1" customWidth="1"/>
    <col min="15366" max="15366" width="7.5703125" style="449" bestFit="1" customWidth="1"/>
    <col min="15367" max="15367" width="8.42578125" style="449" bestFit="1" customWidth="1"/>
    <col min="15368" max="15368" width="9.42578125" style="449" bestFit="1" customWidth="1"/>
    <col min="15369" max="15370" width="9.140625" style="449" bestFit="1" customWidth="1"/>
    <col min="15371" max="15371" width="10.5703125" style="449" bestFit="1" customWidth="1"/>
    <col min="15372" max="15374" width="10.140625" style="449" bestFit="1" customWidth="1"/>
    <col min="15375" max="15375" width="9.28515625" style="449" bestFit="1" customWidth="1"/>
    <col min="15376" max="15377" width="10.140625" style="449" bestFit="1" customWidth="1"/>
    <col min="15378" max="15378" width="9.140625" style="449" bestFit="1" customWidth="1"/>
    <col min="15379" max="15380" width="10.140625" style="449" bestFit="1" customWidth="1"/>
    <col min="15381" max="15381" width="9.140625" style="449" bestFit="1" customWidth="1"/>
    <col min="15382" max="15383" width="10.140625" style="449" bestFit="1" customWidth="1"/>
    <col min="15384" max="15384" width="9.140625" style="449" bestFit="1" customWidth="1"/>
    <col min="15385" max="15385" width="10.140625" style="449" bestFit="1" customWidth="1"/>
    <col min="15386" max="15386" width="7.42578125" style="449" customWidth="1"/>
    <col min="15387" max="15387" width="7.5703125" style="449" bestFit="1" customWidth="1"/>
    <col min="15388" max="15388" width="7.42578125" style="449" customWidth="1"/>
    <col min="15389" max="15389" width="0.7109375" style="449" customWidth="1"/>
    <col min="15390" max="15390" width="7.5703125" style="449" bestFit="1" customWidth="1"/>
    <col min="15391" max="15391" width="6.5703125" style="449" bestFit="1" customWidth="1"/>
    <col min="15392" max="15392" width="10.140625" style="449" bestFit="1" customWidth="1"/>
    <col min="15393" max="15616" width="9.140625" style="449"/>
    <col min="15617" max="15617" width="0.85546875" style="449" customWidth="1"/>
    <col min="15618" max="15618" width="3.42578125" style="449" customWidth="1"/>
    <col min="15619" max="15619" width="63.85546875" style="449" customWidth="1"/>
    <col min="15620" max="15620" width="11.140625" style="449" bestFit="1" customWidth="1"/>
    <col min="15621" max="15621" width="8.42578125" style="449" bestFit="1" customWidth="1"/>
    <col min="15622" max="15622" width="7.5703125" style="449" bestFit="1" customWidth="1"/>
    <col min="15623" max="15623" width="8.42578125" style="449" bestFit="1" customWidth="1"/>
    <col min="15624" max="15624" width="9.42578125" style="449" bestFit="1" customWidth="1"/>
    <col min="15625" max="15626" width="9.140625" style="449" bestFit="1" customWidth="1"/>
    <col min="15627" max="15627" width="10.5703125" style="449" bestFit="1" customWidth="1"/>
    <col min="15628" max="15630" width="10.140625" style="449" bestFit="1" customWidth="1"/>
    <col min="15631" max="15631" width="9.28515625" style="449" bestFit="1" customWidth="1"/>
    <col min="15632" max="15633" width="10.140625" style="449" bestFit="1" customWidth="1"/>
    <col min="15634" max="15634" width="9.140625" style="449" bestFit="1" customWidth="1"/>
    <col min="15635" max="15636" width="10.140625" style="449" bestFit="1" customWidth="1"/>
    <col min="15637" max="15637" width="9.140625" style="449" bestFit="1" customWidth="1"/>
    <col min="15638" max="15639" width="10.140625" style="449" bestFit="1" customWidth="1"/>
    <col min="15640" max="15640" width="9.140625" style="449" bestFit="1" customWidth="1"/>
    <col min="15641" max="15641" width="10.140625" style="449" bestFit="1" customWidth="1"/>
    <col min="15642" max="15642" width="7.42578125" style="449" customWidth="1"/>
    <col min="15643" max="15643" width="7.5703125" style="449" bestFit="1" customWidth="1"/>
    <col min="15644" max="15644" width="7.42578125" style="449" customWidth="1"/>
    <col min="15645" max="15645" width="0.7109375" style="449" customWidth="1"/>
    <col min="15646" max="15646" width="7.5703125" style="449" bestFit="1" customWidth="1"/>
    <col min="15647" max="15647" width="6.5703125" style="449" bestFit="1" customWidth="1"/>
    <col min="15648" max="15648" width="10.140625" style="449" bestFit="1" customWidth="1"/>
    <col min="15649" max="15872" width="9.140625" style="449"/>
    <col min="15873" max="15873" width="0.85546875" style="449" customWidth="1"/>
    <col min="15874" max="15874" width="3.42578125" style="449" customWidth="1"/>
    <col min="15875" max="15875" width="63.85546875" style="449" customWidth="1"/>
    <col min="15876" max="15876" width="11.140625" style="449" bestFit="1" customWidth="1"/>
    <col min="15877" max="15877" width="8.42578125" style="449" bestFit="1" customWidth="1"/>
    <col min="15878" max="15878" width="7.5703125" style="449" bestFit="1" customWidth="1"/>
    <col min="15879" max="15879" width="8.42578125" style="449" bestFit="1" customWidth="1"/>
    <col min="15880" max="15880" width="9.42578125" style="449" bestFit="1" customWidth="1"/>
    <col min="15881" max="15882" width="9.140625" style="449" bestFit="1" customWidth="1"/>
    <col min="15883" max="15883" width="10.5703125" style="449" bestFit="1" customWidth="1"/>
    <col min="15884" max="15886" width="10.140625" style="449" bestFit="1" customWidth="1"/>
    <col min="15887" max="15887" width="9.28515625" style="449" bestFit="1" customWidth="1"/>
    <col min="15888" max="15889" width="10.140625" style="449" bestFit="1" customWidth="1"/>
    <col min="15890" max="15890" width="9.140625" style="449" bestFit="1" customWidth="1"/>
    <col min="15891" max="15892" width="10.140625" style="449" bestFit="1" customWidth="1"/>
    <col min="15893" max="15893" width="9.140625" style="449" bestFit="1" customWidth="1"/>
    <col min="15894" max="15895" width="10.140625" style="449" bestFit="1" customWidth="1"/>
    <col min="15896" max="15896" width="9.140625" style="449" bestFit="1" customWidth="1"/>
    <col min="15897" max="15897" width="10.140625" style="449" bestFit="1" customWidth="1"/>
    <col min="15898" max="15898" width="7.42578125" style="449" customWidth="1"/>
    <col min="15899" max="15899" width="7.5703125" style="449" bestFit="1" customWidth="1"/>
    <col min="15900" max="15900" width="7.42578125" style="449" customWidth="1"/>
    <col min="15901" max="15901" width="0.7109375" style="449" customWidth="1"/>
    <col min="15902" max="15902" width="7.5703125" style="449" bestFit="1" customWidth="1"/>
    <col min="15903" max="15903" width="6.5703125" style="449" bestFit="1" customWidth="1"/>
    <col min="15904" max="15904" width="10.140625" style="449" bestFit="1" customWidth="1"/>
    <col min="15905" max="16128" width="9.140625" style="449"/>
    <col min="16129" max="16129" width="0.85546875" style="449" customWidth="1"/>
    <col min="16130" max="16130" width="3.42578125" style="449" customWidth="1"/>
    <col min="16131" max="16131" width="63.85546875" style="449" customWidth="1"/>
    <col min="16132" max="16132" width="11.140625" style="449" bestFit="1" customWidth="1"/>
    <col min="16133" max="16133" width="8.42578125" style="449" bestFit="1" customWidth="1"/>
    <col min="16134" max="16134" width="7.5703125" style="449" bestFit="1" customWidth="1"/>
    <col min="16135" max="16135" width="8.42578125" style="449" bestFit="1" customWidth="1"/>
    <col min="16136" max="16136" width="9.42578125" style="449" bestFit="1" customWidth="1"/>
    <col min="16137" max="16138" width="9.140625" style="449" bestFit="1" customWidth="1"/>
    <col min="16139" max="16139" width="10.5703125" style="449" bestFit="1" customWidth="1"/>
    <col min="16140" max="16142" width="10.140625" style="449" bestFit="1" customWidth="1"/>
    <col min="16143" max="16143" width="9.28515625" style="449" bestFit="1" customWidth="1"/>
    <col min="16144" max="16145" width="10.140625" style="449" bestFit="1" customWidth="1"/>
    <col min="16146" max="16146" width="9.140625" style="449" bestFit="1" customWidth="1"/>
    <col min="16147" max="16148" width="10.140625" style="449" bestFit="1" customWidth="1"/>
    <col min="16149" max="16149" width="9.140625" style="449" bestFit="1" customWidth="1"/>
    <col min="16150" max="16151" width="10.140625" style="449" bestFit="1" customWidth="1"/>
    <col min="16152" max="16152" width="9.140625" style="449" bestFit="1" customWidth="1"/>
    <col min="16153" max="16153" width="10.140625" style="449" bestFit="1" customWidth="1"/>
    <col min="16154" max="16154" width="7.42578125" style="449" customWidth="1"/>
    <col min="16155" max="16155" width="7.5703125" style="449" bestFit="1" customWidth="1"/>
    <col min="16156" max="16156" width="7.42578125" style="449" customWidth="1"/>
    <col min="16157" max="16157" width="0.7109375" style="449" customWidth="1"/>
    <col min="16158" max="16158" width="7.5703125" style="449" bestFit="1" customWidth="1"/>
    <col min="16159" max="16159" width="6.5703125" style="449" bestFit="1" customWidth="1"/>
    <col min="16160" max="16160" width="10.140625" style="449" bestFit="1" customWidth="1"/>
    <col min="16161" max="16384" width="9.140625" style="449"/>
  </cols>
  <sheetData>
    <row r="1" spans="2:33" s="439" customFormat="1" ht="39" customHeight="1">
      <c r="B1" s="1705" t="s">
        <v>482</v>
      </c>
      <c r="C1" s="1705"/>
      <c r="D1" s="1705"/>
      <c r="E1" s="1705"/>
      <c r="F1" s="1705"/>
      <c r="G1" s="1705"/>
      <c r="H1" s="1705"/>
      <c r="I1" s="1705"/>
      <c r="J1" s="1705"/>
      <c r="K1" s="1705"/>
      <c r="L1" s="1705"/>
      <c r="M1" s="1705"/>
      <c r="N1" s="1705"/>
      <c r="O1" s="1705"/>
      <c r="P1" s="1705"/>
      <c r="Q1" s="1705"/>
      <c r="R1" s="1705"/>
      <c r="S1" s="1705"/>
      <c r="T1" s="1705"/>
      <c r="U1" s="1705"/>
      <c r="V1" s="1705"/>
      <c r="W1" s="1705"/>
      <c r="X1" s="1705"/>
      <c r="Y1" s="1705"/>
      <c r="Z1" s="450"/>
      <c r="AA1" s="450"/>
      <c r="AB1" s="450"/>
    </row>
    <row r="2" spans="2:33" s="439" customFormat="1" ht="12.75" customHeight="1">
      <c r="B2" s="1706"/>
      <c r="C2" s="1706"/>
      <c r="D2" s="399"/>
      <c r="E2" s="400">
        <f>1000</f>
        <v>1000</v>
      </c>
      <c r="F2" s="401"/>
      <c r="G2" s="401"/>
      <c r="H2" s="451"/>
      <c r="I2" s="1707"/>
      <c r="J2" s="1707"/>
      <c r="K2" s="451"/>
      <c r="L2" s="451"/>
      <c r="M2" s="451"/>
      <c r="N2" s="452"/>
      <c r="O2" s="453"/>
      <c r="P2" s="454"/>
      <c r="Q2" s="454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</row>
    <row r="3" spans="2:33" s="439" customFormat="1" ht="17.25" customHeight="1">
      <c r="B3" s="1708" t="s">
        <v>13</v>
      </c>
      <c r="C3" s="1709" t="s">
        <v>17</v>
      </c>
      <c r="D3" s="438"/>
      <c r="E3" s="1710" t="s">
        <v>112</v>
      </c>
      <c r="F3" s="1711"/>
      <c r="G3" s="1711"/>
      <c r="H3" s="1711"/>
      <c r="I3" s="1711"/>
      <c r="J3" s="1711"/>
      <c r="K3" s="1711"/>
      <c r="L3" s="1711"/>
      <c r="M3" s="1711"/>
      <c r="N3" s="1711"/>
      <c r="O3" s="1711"/>
      <c r="P3" s="1711"/>
      <c r="Q3" s="1711"/>
      <c r="R3" s="1711"/>
      <c r="S3" s="1711"/>
      <c r="T3" s="1711"/>
      <c r="U3" s="1711"/>
      <c r="V3" s="1711"/>
      <c r="W3" s="1711"/>
      <c r="X3" s="1711"/>
      <c r="Y3" s="1711"/>
      <c r="Z3" s="1711"/>
      <c r="AA3" s="1711"/>
      <c r="AB3" s="1712"/>
      <c r="AC3" s="440"/>
    </row>
    <row r="4" spans="2:33" s="439" customFormat="1" ht="18.75" customHeight="1">
      <c r="B4" s="1708"/>
      <c r="C4" s="1709"/>
      <c r="D4" s="1713" t="s">
        <v>483</v>
      </c>
      <c r="E4" s="1715">
        <v>2015</v>
      </c>
      <c r="F4" s="1716"/>
      <c r="G4" s="1717"/>
      <c r="H4" s="1718">
        <v>2016</v>
      </c>
      <c r="I4" s="1719"/>
      <c r="J4" s="1720"/>
      <c r="K4" s="1718">
        <v>2017</v>
      </c>
      <c r="L4" s="1719"/>
      <c r="M4" s="1720"/>
      <c r="N4" s="1718">
        <v>2018</v>
      </c>
      <c r="O4" s="1719"/>
      <c r="P4" s="1720"/>
      <c r="Q4" s="1718">
        <v>2019</v>
      </c>
      <c r="R4" s="1719"/>
      <c r="S4" s="1720"/>
      <c r="T4" s="1718">
        <v>2020</v>
      </c>
      <c r="U4" s="1719"/>
      <c r="V4" s="1720"/>
      <c r="W4" s="1718">
        <v>2021</v>
      </c>
      <c r="X4" s="1719"/>
      <c r="Y4" s="1720"/>
      <c r="Z4" s="1718">
        <v>2022</v>
      </c>
      <c r="AA4" s="1719"/>
      <c r="AB4" s="1720"/>
      <c r="AC4" s="440"/>
    </row>
    <row r="5" spans="2:33" s="439" customFormat="1" ht="21.75" customHeight="1">
      <c r="B5" s="1708"/>
      <c r="C5" s="1709"/>
      <c r="D5" s="1714"/>
      <c r="E5" s="437" t="s">
        <v>15</v>
      </c>
      <c r="F5" s="437" t="s">
        <v>19</v>
      </c>
      <c r="G5" s="437" t="s">
        <v>12</v>
      </c>
      <c r="H5" s="456" t="s">
        <v>15</v>
      </c>
      <c r="I5" s="456" t="s">
        <v>19</v>
      </c>
      <c r="J5" s="456" t="s">
        <v>12</v>
      </c>
      <c r="K5" s="456" t="s">
        <v>15</v>
      </c>
      <c r="L5" s="456" t="s">
        <v>19</v>
      </c>
      <c r="M5" s="456" t="s">
        <v>12</v>
      </c>
      <c r="N5" s="456" t="s">
        <v>15</v>
      </c>
      <c r="O5" s="456" t="s">
        <v>19</v>
      </c>
      <c r="P5" s="456" t="s">
        <v>12</v>
      </c>
      <c r="Q5" s="456" t="s">
        <v>15</v>
      </c>
      <c r="R5" s="456" t="s">
        <v>19</v>
      </c>
      <c r="S5" s="456" t="s">
        <v>12</v>
      </c>
      <c r="T5" s="456" t="s">
        <v>15</v>
      </c>
      <c r="U5" s="456" t="s">
        <v>19</v>
      </c>
      <c r="V5" s="456" t="s">
        <v>12</v>
      </c>
      <c r="W5" s="456" t="s">
        <v>15</v>
      </c>
      <c r="X5" s="456" t="s">
        <v>19</v>
      </c>
      <c r="Y5" s="456" t="s">
        <v>12</v>
      </c>
      <c r="Z5" s="456" t="s">
        <v>15</v>
      </c>
      <c r="AA5" s="456" t="s">
        <v>19</v>
      </c>
      <c r="AB5" s="456" t="s">
        <v>12</v>
      </c>
    </row>
    <row r="6" spans="2:33" s="439" customFormat="1" ht="15" hidden="1" customHeight="1" outlineLevel="1">
      <c r="B6" s="402">
        <v>1</v>
      </c>
      <c r="C6" s="402">
        <v>2</v>
      </c>
      <c r="D6" s="402"/>
      <c r="E6" s="402"/>
      <c r="F6" s="402"/>
      <c r="G6" s="402"/>
      <c r="H6" s="457">
        <v>10</v>
      </c>
      <c r="I6" s="457">
        <v>11</v>
      </c>
      <c r="J6" s="457">
        <v>12</v>
      </c>
      <c r="K6" s="457">
        <v>13</v>
      </c>
      <c r="L6" s="457">
        <v>14</v>
      </c>
      <c r="M6" s="456">
        <v>15</v>
      </c>
      <c r="N6" s="457">
        <v>13</v>
      </c>
      <c r="O6" s="457">
        <v>14</v>
      </c>
      <c r="P6" s="456">
        <v>15</v>
      </c>
      <c r="Q6" s="457">
        <v>13</v>
      </c>
      <c r="R6" s="457">
        <v>14</v>
      </c>
      <c r="S6" s="456">
        <v>15</v>
      </c>
      <c r="T6" s="457">
        <v>13</v>
      </c>
      <c r="U6" s="457">
        <v>14</v>
      </c>
      <c r="V6" s="456">
        <v>15</v>
      </c>
      <c r="W6" s="458"/>
      <c r="X6" s="458"/>
      <c r="Y6" s="458"/>
      <c r="Z6" s="458"/>
      <c r="AA6" s="458"/>
      <c r="AB6" s="458"/>
    </row>
    <row r="7" spans="2:33" s="439" customFormat="1" ht="18" customHeight="1" collapsed="1">
      <c r="B7" s="1702" t="s">
        <v>484</v>
      </c>
      <c r="C7" s="1703"/>
      <c r="D7" s="1703"/>
      <c r="E7" s="1703"/>
      <c r="F7" s="1703"/>
      <c r="G7" s="1703"/>
      <c r="H7" s="1703"/>
      <c r="I7" s="1703"/>
      <c r="J7" s="1703"/>
      <c r="K7" s="1703"/>
      <c r="L7" s="1703"/>
      <c r="M7" s="1703"/>
      <c r="N7" s="1703"/>
      <c r="O7" s="1703"/>
      <c r="P7" s="1703"/>
      <c r="Q7" s="1703"/>
      <c r="R7" s="1703"/>
      <c r="S7" s="1703"/>
      <c r="T7" s="1703"/>
      <c r="U7" s="1703"/>
      <c r="V7" s="1704"/>
      <c r="W7" s="459"/>
      <c r="X7" s="459"/>
      <c r="Y7" s="459"/>
      <c r="Z7" s="459"/>
      <c r="AA7" s="459"/>
      <c r="AB7" s="459"/>
      <c r="AC7" s="440"/>
    </row>
    <row r="8" spans="2:33" s="439" customFormat="1" ht="20.25" customHeight="1">
      <c r="B8" s="1724" t="s">
        <v>503</v>
      </c>
      <c r="C8" s="1725"/>
      <c r="D8" s="1725"/>
      <c r="E8" s="1725"/>
      <c r="F8" s="1725"/>
      <c r="G8" s="1725"/>
      <c r="H8" s="1725"/>
      <c r="I8" s="1725"/>
      <c r="J8" s="1725"/>
      <c r="K8" s="1725"/>
      <c r="L8" s="1725"/>
      <c r="M8" s="1725"/>
      <c r="N8" s="1725"/>
      <c r="O8" s="1725"/>
      <c r="P8" s="1725"/>
      <c r="Q8" s="1725"/>
      <c r="R8" s="1725"/>
      <c r="S8" s="1725"/>
      <c r="T8" s="1725"/>
      <c r="U8" s="1725"/>
      <c r="V8" s="1726"/>
      <c r="W8" s="460"/>
      <c r="X8" s="460"/>
      <c r="Y8" s="460"/>
      <c r="Z8" s="460"/>
      <c r="AA8" s="460"/>
      <c r="AB8" s="460"/>
      <c r="AC8" s="440"/>
    </row>
    <row r="9" spans="2:33" s="439" customFormat="1" ht="26.45" hidden="1" customHeight="1" outlineLevel="1">
      <c r="B9" s="403">
        <v>1</v>
      </c>
      <c r="C9" s="404" t="s">
        <v>485</v>
      </c>
      <c r="D9" s="405">
        <f>E9+H9+K9+N9+Q9+T9+W9+Z9</f>
        <v>0</v>
      </c>
      <c r="E9" s="406">
        <f>SUM(F9:G9)</f>
        <v>0</v>
      </c>
      <c r="F9" s="406">
        <v>0</v>
      </c>
      <c r="G9" s="406">
        <v>0</v>
      </c>
      <c r="H9" s="461">
        <f>SUM(I9:J9)</f>
        <v>0</v>
      </c>
      <c r="I9" s="461"/>
      <c r="J9" s="461"/>
      <c r="K9" s="461">
        <f>SUM(L9:M9)</f>
        <v>0</v>
      </c>
      <c r="L9" s="461"/>
      <c r="M9" s="461"/>
      <c r="N9" s="461">
        <f>SUM(O9:P9)</f>
        <v>0</v>
      </c>
      <c r="O9" s="461"/>
      <c r="P9" s="461"/>
      <c r="Q9" s="461">
        <f>SUM(R9:S9)</f>
        <v>0</v>
      </c>
      <c r="R9" s="461"/>
      <c r="S9" s="461"/>
      <c r="T9" s="461">
        <f>SUM(U9:V9)</f>
        <v>0</v>
      </c>
      <c r="U9" s="461"/>
      <c r="V9" s="461"/>
      <c r="W9" s="461">
        <f>SUM(X9:Y9)</f>
        <v>0</v>
      </c>
      <c r="X9" s="461"/>
      <c r="Y9" s="461"/>
      <c r="Z9" s="461">
        <f>SUM(AA9:AB9)</f>
        <v>0</v>
      </c>
      <c r="AA9" s="461"/>
      <c r="AB9" s="461"/>
      <c r="AC9" s="441"/>
    </row>
    <row r="10" spans="2:33" s="439" customFormat="1" ht="78" customHeight="1" collapsed="1">
      <c r="B10" s="403">
        <v>1</v>
      </c>
      <c r="C10" s="407" t="s">
        <v>505</v>
      </c>
      <c r="D10" s="405">
        <f>E10+H10+K10+N10+Q10+T10+W10+Z10</f>
        <v>773</v>
      </c>
      <c r="E10" s="406">
        <f>SUM(F10:G10)</f>
        <v>3</v>
      </c>
      <c r="F10" s="406">
        <v>2</v>
      </c>
      <c r="G10" s="406">
        <v>1</v>
      </c>
      <c r="H10" s="461">
        <f>SUM(I10:J10)</f>
        <v>662</v>
      </c>
      <c r="I10" s="461">
        <v>241</v>
      </c>
      <c r="J10" s="461">
        <v>421</v>
      </c>
      <c r="K10" s="461">
        <f>SUM(L10:M10)</f>
        <v>78</v>
      </c>
      <c r="L10" s="461">
        <v>29</v>
      </c>
      <c r="M10" s="461">
        <v>49</v>
      </c>
      <c r="N10" s="461">
        <f>SUM(O10:P10)</f>
        <v>30</v>
      </c>
      <c r="O10" s="461">
        <v>13</v>
      </c>
      <c r="P10" s="461">
        <v>17</v>
      </c>
      <c r="Q10" s="461">
        <f>SUM(R10:S10)</f>
        <v>0</v>
      </c>
      <c r="R10" s="461">
        <v>0</v>
      </c>
      <c r="S10" s="461">
        <v>0</v>
      </c>
      <c r="T10" s="461">
        <f>SUM(U10:V10)</f>
        <v>0</v>
      </c>
      <c r="U10" s="461">
        <v>0</v>
      </c>
      <c r="V10" s="461">
        <v>0</v>
      </c>
      <c r="W10" s="461">
        <f>SUM(X10:Y10)</f>
        <v>0</v>
      </c>
      <c r="X10" s="461">
        <v>0</v>
      </c>
      <c r="Y10" s="461">
        <v>0</v>
      </c>
      <c r="Z10" s="461">
        <f>SUM(AA10:AB10)</f>
        <v>0</v>
      </c>
      <c r="AA10" s="461">
        <v>0</v>
      </c>
      <c r="AB10" s="461">
        <v>0</v>
      </c>
      <c r="AC10" s="441"/>
    </row>
    <row r="11" spans="2:33" s="439" customFormat="1" ht="92.25" customHeight="1">
      <c r="B11" s="403">
        <v>2</v>
      </c>
      <c r="C11" s="407" t="s">
        <v>506</v>
      </c>
      <c r="D11" s="405">
        <f>E11+H11+K11+N11+Q11+T11+W11+Z11</f>
        <v>6531</v>
      </c>
      <c r="E11" s="406">
        <f>SUM(F11:G11)</f>
        <v>24</v>
      </c>
      <c r="F11" s="406">
        <v>18</v>
      </c>
      <c r="G11" s="406">
        <v>6</v>
      </c>
      <c r="H11" s="461">
        <f>SUM(I11:J11)</f>
        <v>52</v>
      </c>
      <c r="I11" s="461">
        <v>29</v>
      </c>
      <c r="J11" s="461">
        <v>23</v>
      </c>
      <c r="K11" s="461">
        <f>SUM(L11:M11)</f>
        <v>278</v>
      </c>
      <c r="L11" s="461">
        <v>107</v>
      </c>
      <c r="M11" s="461">
        <v>171</v>
      </c>
      <c r="N11" s="461">
        <f>SUM(O11:P11)</f>
        <v>2999</v>
      </c>
      <c r="O11" s="461">
        <v>1105</v>
      </c>
      <c r="P11" s="461">
        <v>1894</v>
      </c>
      <c r="Q11" s="461">
        <f>SUM(R11:S11)</f>
        <v>2990</v>
      </c>
      <c r="R11" s="461">
        <v>1102</v>
      </c>
      <c r="S11" s="461">
        <v>1888</v>
      </c>
      <c r="T11" s="461">
        <f>SUM(U11:V11)</f>
        <v>188</v>
      </c>
      <c r="U11" s="461">
        <v>72</v>
      </c>
      <c r="V11" s="461">
        <v>116</v>
      </c>
      <c r="W11" s="461">
        <f>SUM(X11:Y11)</f>
        <v>0</v>
      </c>
      <c r="X11" s="461">
        <v>0</v>
      </c>
      <c r="Y11" s="461">
        <v>0</v>
      </c>
      <c r="Z11" s="461">
        <f>SUM(AA11:AB11)</f>
        <v>0</v>
      </c>
      <c r="AA11" s="461">
        <v>0</v>
      </c>
      <c r="AB11" s="461">
        <v>0</v>
      </c>
      <c r="AD11" s="483"/>
      <c r="AE11" s="484">
        <f>D12-E12</f>
        <v>7277</v>
      </c>
    </row>
    <row r="12" spans="2:33" s="439" customFormat="1" ht="18" customHeight="1">
      <c r="B12" s="1727" t="s">
        <v>121</v>
      </c>
      <c r="C12" s="1728"/>
      <c r="D12" s="406">
        <f t="shared" ref="D12:Y12" si="0">SUM(D9:D11)</f>
        <v>7304</v>
      </c>
      <c r="E12" s="406">
        <f t="shared" si="0"/>
        <v>27</v>
      </c>
      <c r="F12" s="406">
        <f t="shared" si="0"/>
        <v>20</v>
      </c>
      <c r="G12" s="406">
        <f t="shared" si="0"/>
        <v>7</v>
      </c>
      <c r="H12" s="461">
        <f t="shared" si="0"/>
        <v>714</v>
      </c>
      <c r="I12" s="461">
        <f t="shared" si="0"/>
        <v>270</v>
      </c>
      <c r="J12" s="461">
        <f t="shared" si="0"/>
        <v>444</v>
      </c>
      <c r="K12" s="461">
        <f t="shared" si="0"/>
        <v>356</v>
      </c>
      <c r="L12" s="461">
        <f t="shared" si="0"/>
        <v>136</v>
      </c>
      <c r="M12" s="461">
        <f t="shared" si="0"/>
        <v>220</v>
      </c>
      <c r="N12" s="461">
        <f t="shared" si="0"/>
        <v>3029</v>
      </c>
      <c r="O12" s="461">
        <f t="shared" si="0"/>
        <v>1118</v>
      </c>
      <c r="P12" s="461">
        <f t="shared" si="0"/>
        <v>1911</v>
      </c>
      <c r="Q12" s="461">
        <f t="shared" si="0"/>
        <v>2990</v>
      </c>
      <c r="R12" s="461">
        <f t="shared" si="0"/>
        <v>1102</v>
      </c>
      <c r="S12" s="461">
        <f t="shared" si="0"/>
        <v>1888</v>
      </c>
      <c r="T12" s="461">
        <f t="shared" si="0"/>
        <v>188</v>
      </c>
      <c r="U12" s="461">
        <f t="shared" si="0"/>
        <v>72</v>
      </c>
      <c r="V12" s="461">
        <f t="shared" si="0"/>
        <v>116</v>
      </c>
      <c r="W12" s="461">
        <f t="shared" si="0"/>
        <v>0</v>
      </c>
      <c r="X12" s="461">
        <f t="shared" si="0"/>
        <v>0</v>
      </c>
      <c r="Y12" s="461">
        <f t="shared" si="0"/>
        <v>0</v>
      </c>
      <c r="Z12" s="461">
        <f>SUM(Z9:Z11)</f>
        <v>0</v>
      </c>
      <c r="AA12" s="461">
        <f>SUM(AA9:AA11)</f>
        <v>0</v>
      </c>
      <c r="AB12" s="461">
        <f>SUM(AB9:AB11)</f>
        <v>0</v>
      </c>
      <c r="AE12" s="442"/>
    </row>
    <row r="13" spans="2:33" s="439" customFormat="1" ht="18" customHeight="1">
      <c r="B13" s="1729" t="s">
        <v>486</v>
      </c>
      <c r="C13" s="1730"/>
      <c r="D13" s="1730"/>
      <c r="E13" s="1730"/>
      <c r="F13" s="1730"/>
      <c r="G13" s="1730"/>
      <c r="H13" s="1730"/>
      <c r="I13" s="1730"/>
      <c r="J13" s="1730"/>
      <c r="K13" s="1730"/>
      <c r="L13" s="1730"/>
      <c r="M13" s="1730"/>
      <c r="N13" s="1730"/>
      <c r="O13" s="1730"/>
      <c r="P13" s="1730"/>
      <c r="Q13" s="1730"/>
      <c r="R13" s="1730"/>
      <c r="S13" s="1730"/>
      <c r="T13" s="1730"/>
      <c r="U13" s="1730"/>
      <c r="V13" s="1731"/>
      <c r="W13" s="462"/>
      <c r="X13" s="462"/>
      <c r="Y13" s="462"/>
      <c r="Z13" s="462"/>
      <c r="AA13" s="462"/>
      <c r="AB13" s="462"/>
      <c r="AC13" s="440"/>
    </row>
    <row r="14" spans="2:33" s="439" customFormat="1" ht="20.25" customHeight="1">
      <c r="B14" s="1724" t="s">
        <v>504</v>
      </c>
      <c r="C14" s="1725"/>
      <c r="D14" s="1725"/>
      <c r="E14" s="1725"/>
      <c r="F14" s="1725"/>
      <c r="G14" s="1725"/>
      <c r="H14" s="1725"/>
      <c r="I14" s="1725"/>
      <c r="J14" s="1725"/>
      <c r="K14" s="1725"/>
      <c r="L14" s="1725"/>
      <c r="M14" s="1725"/>
      <c r="N14" s="1725"/>
      <c r="O14" s="1725"/>
      <c r="P14" s="1725"/>
      <c r="Q14" s="1725"/>
      <c r="R14" s="1725"/>
      <c r="S14" s="1725"/>
      <c r="T14" s="1725"/>
      <c r="U14" s="1725"/>
      <c r="V14" s="1726"/>
      <c r="W14" s="463"/>
      <c r="X14" s="463"/>
      <c r="Y14" s="463"/>
      <c r="Z14" s="463"/>
      <c r="AA14" s="463"/>
      <c r="AB14" s="463"/>
      <c r="AC14" s="440"/>
    </row>
    <row r="15" spans="2:33" s="439" customFormat="1" ht="26.45" hidden="1" customHeight="1" outlineLevel="1">
      <c r="B15" s="403">
        <v>1</v>
      </c>
      <c r="C15" s="404" t="s">
        <v>485</v>
      </c>
      <c r="D15" s="405">
        <f t="shared" ref="D15:D34" si="1">E15+H15+K15+N15+Q15+T15+W15+Z15</f>
        <v>0</v>
      </c>
      <c r="E15" s="406">
        <f t="shared" ref="E15:E34" si="2">SUM(F15:G15)</f>
        <v>0</v>
      </c>
      <c r="F15" s="406">
        <v>0</v>
      </c>
      <c r="G15" s="406">
        <v>0</v>
      </c>
      <c r="H15" s="461">
        <f>SUM(I15:J15)</f>
        <v>0</v>
      </c>
      <c r="I15" s="461"/>
      <c r="J15" s="461"/>
      <c r="K15" s="461">
        <f>SUM(L15:M15)</f>
        <v>0</v>
      </c>
      <c r="L15" s="461"/>
      <c r="M15" s="461"/>
      <c r="N15" s="461">
        <f>SUM(O15:P15)</f>
        <v>0</v>
      </c>
      <c r="O15" s="461"/>
      <c r="P15" s="461"/>
      <c r="Q15" s="461">
        <f>SUM(R15:S15)</f>
        <v>0</v>
      </c>
      <c r="R15" s="461"/>
      <c r="S15" s="461"/>
      <c r="T15" s="461">
        <f>SUM(U15:V15)</f>
        <v>0</v>
      </c>
      <c r="U15" s="461"/>
      <c r="V15" s="461"/>
      <c r="W15" s="461">
        <f>SUM(X15:Y15)</f>
        <v>0</v>
      </c>
      <c r="X15" s="461"/>
      <c r="Y15" s="461"/>
      <c r="Z15" s="461">
        <f>SUM(AA15:AB15)</f>
        <v>0</v>
      </c>
      <c r="AA15" s="461"/>
      <c r="AB15" s="461"/>
      <c r="AC15" s="441"/>
    </row>
    <row r="16" spans="2:33" s="439" customFormat="1" ht="62.25" customHeight="1" collapsed="1">
      <c r="B16" s="403">
        <v>1</v>
      </c>
      <c r="C16" s="408" t="s">
        <v>507</v>
      </c>
      <c r="D16" s="405">
        <f t="shared" si="1"/>
        <v>13298</v>
      </c>
      <c r="E16" s="406">
        <f t="shared" si="2"/>
        <v>53</v>
      </c>
      <c r="F16" s="406">
        <v>39</v>
      </c>
      <c r="G16" s="406">
        <v>14</v>
      </c>
      <c r="H16" s="461">
        <f t="shared" ref="H16:H32" si="3">SUM(I16:J16)</f>
        <v>198</v>
      </c>
      <c r="I16" s="461">
        <v>93</v>
      </c>
      <c r="J16" s="461">
        <v>105</v>
      </c>
      <c r="K16" s="461">
        <f t="shared" ref="K16:K32" si="4">SUM(L16:M16)</f>
        <v>12630</v>
      </c>
      <c r="L16" s="461">
        <v>4591</v>
      </c>
      <c r="M16" s="461">
        <v>8039</v>
      </c>
      <c r="N16" s="461">
        <f t="shared" ref="N16:N32" si="5">SUM(O16:P16)</f>
        <v>417</v>
      </c>
      <c r="O16" s="461">
        <v>190</v>
      </c>
      <c r="P16" s="461">
        <v>227</v>
      </c>
      <c r="Q16" s="461">
        <f>SUM(R16:S16)</f>
        <v>0</v>
      </c>
      <c r="R16" s="461">
        <v>0</v>
      </c>
      <c r="S16" s="461">
        <v>0</v>
      </c>
      <c r="T16" s="461">
        <f t="shared" ref="T16:T32" si="6">SUM(U16:V16)</f>
        <v>0</v>
      </c>
      <c r="U16" s="461">
        <v>0</v>
      </c>
      <c r="V16" s="461">
        <v>0</v>
      </c>
      <c r="W16" s="461">
        <f t="shared" ref="W16:W32" si="7">SUM(X16:Y16)</f>
        <v>0</v>
      </c>
      <c r="X16" s="461">
        <v>0</v>
      </c>
      <c r="Y16" s="461">
        <v>0</v>
      </c>
      <c r="Z16" s="461">
        <f t="shared" ref="Z16:Z32" si="8">SUM(AA16:AB16)</f>
        <v>0</v>
      </c>
      <c r="AA16" s="461">
        <v>0</v>
      </c>
      <c r="AB16" s="461">
        <v>0</v>
      </c>
      <c r="AE16" s="442"/>
      <c r="AF16" s="485">
        <f>D16-E16</f>
        <v>13245</v>
      </c>
      <c r="AG16" s="483"/>
    </row>
    <row r="17" spans="2:33" s="439" customFormat="1" ht="81" customHeight="1">
      <c r="B17" s="409">
        <v>2</v>
      </c>
      <c r="C17" s="407" t="s">
        <v>508</v>
      </c>
      <c r="D17" s="405">
        <f t="shared" si="1"/>
        <v>1446</v>
      </c>
      <c r="E17" s="410">
        <f t="shared" si="2"/>
        <v>5</v>
      </c>
      <c r="F17" s="406">
        <v>4</v>
      </c>
      <c r="G17" s="406">
        <v>1</v>
      </c>
      <c r="H17" s="464">
        <f t="shared" si="3"/>
        <v>1039</v>
      </c>
      <c r="I17" s="461">
        <v>379</v>
      </c>
      <c r="J17" s="461">
        <v>660</v>
      </c>
      <c r="K17" s="464">
        <f t="shared" si="4"/>
        <v>347</v>
      </c>
      <c r="L17" s="461">
        <v>127</v>
      </c>
      <c r="M17" s="461">
        <v>220</v>
      </c>
      <c r="N17" s="464">
        <f t="shared" si="5"/>
        <v>55</v>
      </c>
      <c r="O17" s="461">
        <v>24</v>
      </c>
      <c r="P17" s="461">
        <v>31</v>
      </c>
      <c r="Q17" s="464">
        <f t="shared" ref="Q17:Q32" si="9">SUM(R17:S17)</f>
        <v>0</v>
      </c>
      <c r="R17" s="461">
        <v>0</v>
      </c>
      <c r="S17" s="461">
        <v>0</v>
      </c>
      <c r="T17" s="464">
        <f t="shared" si="6"/>
        <v>0</v>
      </c>
      <c r="U17" s="461">
        <v>0</v>
      </c>
      <c r="V17" s="461">
        <v>0</v>
      </c>
      <c r="W17" s="464">
        <f t="shared" si="7"/>
        <v>0</v>
      </c>
      <c r="X17" s="461">
        <v>0</v>
      </c>
      <c r="Y17" s="461">
        <v>0</v>
      </c>
      <c r="Z17" s="464">
        <f t="shared" si="8"/>
        <v>0</v>
      </c>
      <c r="AA17" s="461">
        <v>0</v>
      </c>
      <c r="AB17" s="461">
        <v>0</v>
      </c>
      <c r="AE17" s="442"/>
      <c r="AF17" s="485">
        <f t="shared" ref="AF17:AF20" si="10">D17-E17</f>
        <v>1441</v>
      </c>
      <c r="AG17" s="483"/>
    </row>
    <row r="18" spans="2:33" s="439" customFormat="1" ht="93" customHeight="1">
      <c r="B18" s="409">
        <v>3</v>
      </c>
      <c r="C18" s="407" t="s">
        <v>509</v>
      </c>
      <c r="D18" s="405">
        <f t="shared" si="1"/>
        <v>3688</v>
      </c>
      <c r="E18" s="406">
        <f t="shared" si="2"/>
        <v>14</v>
      </c>
      <c r="F18" s="406">
        <v>10</v>
      </c>
      <c r="G18" s="406">
        <v>4</v>
      </c>
      <c r="H18" s="461">
        <f t="shared" si="3"/>
        <v>28</v>
      </c>
      <c r="I18" s="461">
        <v>16</v>
      </c>
      <c r="J18" s="461">
        <v>12</v>
      </c>
      <c r="K18" s="461">
        <f t="shared" si="4"/>
        <v>153</v>
      </c>
      <c r="L18" s="461">
        <v>59</v>
      </c>
      <c r="M18" s="461">
        <v>94</v>
      </c>
      <c r="N18" s="461">
        <f t="shared" si="5"/>
        <v>1697</v>
      </c>
      <c r="O18" s="461">
        <v>625</v>
      </c>
      <c r="P18" s="461">
        <v>1072</v>
      </c>
      <c r="Q18" s="461">
        <f t="shared" si="9"/>
        <v>1691</v>
      </c>
      <c r="R18" s="461">
        <v>623</v>
      </c>
      <c r="S18" s="461">
        <v>1068</v>
      </c>
      <c r="T18" s="461">
        <f t="shared" si="6"/>
        <v>105</v>
      </c>
      <c r="U18" s="461">
        <v>40</v>
      </c>
      <c r="V18" s="461">
        <v>65</v>
      </c>
      <c r="W18" s="461">
        <f t="shared" si="7"/>
        <v>0</v>
      </c>
      <c r="X18" s="461">
        <v>0</v>
      </c>
      <c r="Y18" s="461">
        <v>0</v>
      </c>
      <c r="Z18" s="461">
        <f t="shared" si="8"/>
        <v>0</v>
      </c>
      <c r="AA18" s="461">
        <v>0</v>
      </c>
      <c r="AB18" s="461">
        <v>0</v>
      </c>
      <c r="AE18" s="442"/>
      <c r="AF18" s="485">
        <f t="shared" si="10"/>
        <v>3674</v>
      </c>
      <c r="AG18" s="483"/>
    </row>
    <row r="19" spans="2:33" s="439" customFormat="1" ht="93" customHeight="1">
      <c r="B19" s="409">
        <v>4</v>
      </c>
      <c r="C19" s="407" t="s">
        <v>510</v>
      </c>
      <c r="D19" s="405">
        <f t="shared" si="1"/>
        <v>8324</v>
      </c>
      <c r="E19" s="406">
        <f t="shared" si="2"/>
        <v>32</v>
      </c>
      <c r="F19" s="406">
        <v>24</v>
      </c>
      <c r="G19" s="406">
        <v>8</v>
      </c>
      <c r="H19" s="461">
        <f t="shared" si="3"/>
        <v>66</v>
      </c>
      <c r="I19" s="461">
        <v>37</v>
      </c>
      <c r="J19" s="461">
        <v>29</v>
      </c>
      <c r="K19" s="461">
        <f t="shared" si="4"/>
        <v>6594</v>
      </c>
      <c r="L19" s="461">
        <v>2398</v>
      </c>
      <c r="M19" s="461">
        <v>4196</v>
      </c>
      <c r="N19" s="461">
        <f t="shared" si="5"/>
        <v>1342</v>
      </c>
      <c r="O19" s="461">
        <v>510</v>
      </c>
      <c r="P19" s="461">
        <v>832</v>
      </c>
      <c r="Q19" s="461">
        <f t="shared" si="9"/>
        <v>290</v>
      </c>
      <c r="R19" s="461">
        <v>129</v>
      </c>
      <c r="S19" s="461">
        <v>161</v>
      </c>
      <c r="T19" s="461">
        <f t="shared" si="6"/>
        <v>0</v>
      </c>
      <c r="U19" s="461">
        <v>0</v>
      </c>
      <c r="V19" s="461">
        <v>0</v>
      </c>
      <c r="W19" s="461">
        <f t="shared" si="7"/>
        <v>0</v>
      </c>
      <c r="X19" s="461">
        <v>0</v>
      </c>
      <c r="Y19" s="461">
        <v>0</v>
      </c>
      <c r="Z19" s="461">
        <f t="shared" si="8"/>
        <v>0</v>
      </c>
      <c r="AA19" s="461">
        <v>0</v>
      </c>
      <c r="AB19" s="461">
        <v>0</v>
      </c>
      <c r="AE19" s="442"/>
      <c r="AF19" s="485">
        <f t="shared" si="10"/>
        <v>8292</v>
      </c>
      <c r="AG19" s="483"/>
    </row>
    <row r="20" spans="2:33" s="439" customFormat="1" ht="69.75" customHeight="1">
      <c r="B20" s="409">
        <v>5</v>
      </c>
      <c r="C20" s="407" t="s">
        <v>511</v>
      </c>
      <c r="D20" s="405">
        <f t="shared" si="1"/>
        <v>54243</v>
      </c>
      <c r="E20" s="406">
        <f t="shared" si="2"/>
        <v>203</v>
      </c>
      <c r="F20" s="406">
        <v>150</v>
      </c>
      <c r="G20" s="406">
        <v>53</v>
      </c>
      <c r="H20" s="461">
        <f t="shared" si="3"/>
        <v>257</v>
      </c>
      <c r="I20" s="461">
        <v>175</v>
      </c>
      <c r="J20" s="461">
        <v>82</v>
      </c>
      <c r="K20" s="461">
        <f t="shared" si="4"/>
        <v>5751</v>
      </c>
      <c r="L20" s="461">
        <v>2134</v>
      </c>
      <c r="M20" s="461">
        <v>3617</v>
      </c>
      <c r="N20" s="461">
        <f t="shared" si="5"/>
        <v>14324</v>
      </c>
      <c r="O20" s="461">
        <v>5342</v>
      </c>
      <c r="P20" s="461">
        <v>8982</v>
      </c>
      <c r="Q20" s="461">
        <f t="shared" si="9"/>
        <v>14810</v>
      </c>
      <c r="R20" s="461">
        <v>5518</v>
      </c>
      <c r="S20" s="461">
        <v>9292</v>
      </c>
      <c r="T20" s="461">
        <f t="shared" si="6"/>
        <v>13405</v>
      </c>
      <c r="U20" s="461">
        <v>4890</v>
      </c>
      <c r="V20" s="461">
        <v>8515</v>
      </c>
      <c r="W20" s="461">
        <f t="shared" si="7"/>
        <v>5334</v>
      </c>
      <c r="X20" s="461">
        <v>1958</v>
      </c>
      <c r="Y20" s="461">
        <v>3376</v>
      </c>
      <c r="Z20" s="461">
        <f t="shared" si="8"/>
        <v>159</v>
      </c>
      <c r="AA20" s="461">
        <v>66</v>
      </c>
      <c r="AB20" s="461">
        <v>93</v>
      </c>
      <c r="AE20" s="442"/>
      <c r="AF20" s="485">
        <f t="shared" si="10"/>
        <v>54040</v>
      </c>
      <c r="AG20" s="483"/>
    </row>
    <row r="21" spans="2:33" s="439" customFormat="1" ht="22.5" hidden="1" customHeight="1" outlineLevel="1">
      <c r="B21" s="409"/>
      <c r="C21" s="407" t="s">
        <v>487</v>
      </c>
      <c r="D21" s="411">
        <f t="shared" si="1"/>
        <v>364.1</v>
      </c>
      <c r="E21" s="412">
        <f t="shared" si="2"/>
        <v>0</v>
      </c>
      <c r="F21" s="412">
        <v>0</v>
      </c>
      <c r="G21" s="412">
        <v>0</v>
      </c>
      <c r="H21" s="465">
        <f t="shared" si="3"/>
        <v>131.017</v>
      </c>
      <c r="I21" s="465">
        <v>47.494</v>
      </c>
      <c r="J21" s="465">
        <v>83.522999999999996</v>
      </c>
      <c r="K21" s="465">
        <f t="shared" si="4"/>
        <v>200.31399999999999</v>
      </c>
      <c r="L21" s="465">
        <v>72.614000000000004</v>
      </c>
      <c r="M21" s="465">
        <v>127.7</v>
      </c>
      <c r="N21" s="465">
        <f t="shared" si="5"/>
        <v>32.768999999999998</v>
      </c>
      <c r="O21" s="465">
        <v>11.879</v>
      </c>
      <c r="P21" s="465">
        <v>20.89</v>
      </c>
      <c r="Q21" s="465">
        <f t="shared" si="9"/>
        <v>0</v>
      </c>
      <c r="R21" s="465">
        <v>0</v>
      </c>
      <c r="S21" s="465">
        <v>0</v>
      </c>
      <c r="T21" s="465">
        <f t="shared" si="6"/>
        <v>0</v>
      </c>
      <c r="U21" s="465">
        <v>0</v>
      </c>
      <c r="V21" s="465">
        <v>0</v>
      </c>
      <c r="W21" s="465">
        <f t="shared" si="7"/>
        <v>0</v>
      </c>
      <c r="X21" s="465">
        <v>0</v>
      </c>
      <c r="Y21" s="465">
        <v>0</v>
      </c>
      <c r="Z21" s="465">
        <f t="shared" si="8"/>
        <v>0</v>
      </c>
      <c r="AA21" s="465">
        <v>0</v>
      </c>
      <c r="AB21" s="465">
        <v>0</v>
      </c>
      <c r="AE21" s="442"/>
      <c r="AF21" s="483"/>
      <c r="AG21" s="483"/>
    </row>
    <row r="22" spans="2:33" s="439" customFormat="1" ht="22.5" hidden="1" customHeight="1" outlineLevel="1">
      <c r="B22" s="409"/>
      <c r="C22" s="407" t="s">
        <v>488</v>
      </c>
      <c r="D22" s="411">
        <f t="shared" si="1"/>
        <v>297.89999999999998</v>
      </c>
      <c r="E22" s="412">
        <f t="shared" si="2"/>
        <v>0</v>
      </c>
      <c r="F22" s="412">
        <v>0</v>
      </c>
      <c r="G22" s="412">
        <v>0</v>
      </c>
      <c r="H22" s="465">
        <f t="shared" si="3"/>
        <v>107.19499999999999</v>
      </c>
      <c r="I22" s="465">
        <v>38.857999999999997</v>
      </c>
      <c r="J22" s="465">
        <v>68.337000000000003</v>
      </c>
      <c r="K22" s="465">
        <f t="shared" si="4"/>
        <v>163.89400000000001</v>
      </c>
      <c r="L22" s="465">
        <v>59.411000000000001</v>
      </c>
      <c r="M22" s="465">
        <v>104.483</v>
      </c>
      <c r="N22" s="465">
        <f t="shared" si="5"/>
        <v>26.811</v>
      </c>
      <c r="O22" s="465">
        <v>9.7189999999999994</v>
      </c>
      <c r="P22" s="465">
        <v>17.091999999999999</v>
      </c>
      <c r="Q22" s="465">
        <f t="shared" si="9"/>
        <v>0</v>
      </c>
      <c r="R22" s="465">
        <v>0</v>
      </c>
      <c r="S22" s="465">
        <v>0</v>
      </c>
      <c r="T22" s="465">
        <f t="shared" si="6"/>
        <v>0</v>
      </c>
      <c r="U22" s="465">
        <v>0</v>
      </c>
      <c r="V22" s="465">
        <v>0</v>
      </c>
      <c r="W22" s="465">
        <f t="shared" si="7"/>
        <v>0</v>
      </c>
      <c r="X22" s="465">
        <v>0</v>
      </c>
      <c r="Y22" s="465">
        <v>0</v>
      </c>
      <c r="Z22" s="465">
        <f t="shared" si="8"/>
        <v>0</v>
      </c>
      <c r="AA22" s="465">
        <v>0</v>
      </c>
      <c r="AB22" s="465">
        <v>0</v>
      </c>
      <c r="AE22" s="442"/>
      <c r="AF22" s="483"/>
      <c r="AG22" s="483"/>
    </row>
    <row r="23" spans="2:33" s="439" customFormat="1" ht="22.5" hidden="1" customHeight="1" outlineLevel="1">
      <c r="B23" s="409"/>
      <c r="C23" s="407" t="s">
        <v>489</v>
      </c>
      <c r="D23" s="411">
        <f t="shared" si="1"/>
        <v>364.26</v>
      </c>
      <c r="E23" s="412">
        <f t="shared" si="2"/>
        <v>0</v>
      </c>
      <c r="F23" s="412">
        <v>0</v>
      </c>
      <c r="G23" s="412">
        <v>0</v>
      </c>
      <c r="H23" s="465">
        <f t="shared" si="3"/>
        <v>31.616</v>
      </c>
      <c r="I23" s="465">
        <v>11.461</v>
      </c>
      <c r="J23" s="465">
        <v>20.155000000000001</v>
      </c>
      <c r="K23" s="465">
        <f t="shared" si="4"/>
        <v>137.00899999999999</v>
      </c>
      <c r="L23" s="465">
        <v>49.665999999999997</v>
      </c>
      <c r="M23" s="465">
        <v>87.343000000000004</v>
      </c>
      <c r="N23" s="465">
        <f t="shared" si="5"/>
        <v>87.831999999999994</v>
      </c>
      <c r="O23" s="465">
        <v>31.838999999999999</v>
      </c>
      <c r="P23" s="465">
        <v>55.993000000000002</v>
      </c>
      <c r="Q23" s="465">
        <f t="shared" si="9"/>
        <v>78.319999999999993</v>
      </c>
      <c r="R23" s="465">
        <v>28.390999999999998</v>
      </c>
      <c r="S23" s="465">
        <v>49.929000000000002</v>
      </c>
      <c r="T23" s="465">
        <f t="shared" si="6"/>
        <v>29.483000000000001</v>
      </c>
      <c r="U23" s="465">
        <v>10.688000000000001</v>
      </c>
      <c r="V23" s="465">
        <v>18.795000000000002</v>
      </c>
      <c r="W23" s="465">
        <f t="shared" si="7"/>
        <v>0</v>
      </c>
      <c r="X23" s="465">
        <v>0</v>
      </c>
      <c r="Y23" s="465">
        <v>0</v>
      </c>
      <c r="Z23" s="465">
        <f t="shared" si="8"/>
        <v>0</v>
      </c>
      <c r="AA23" s="465">
        <v>0</v>
      </c>
      <c r="AB23" s="465">
        <v>0</v>
      </c>
      <c r="AE23" s="442"/>
      <c r="AF23" s="483"/>
      <c r="AG23" s="483"/>
    </row>
    <row r="24" spans="2:33" s="439" customFormat="1" ht="22.5" hidden="1" customHeight="1" outlineLevel="1">
      <c r="B24" s="409"/>
      <c r="C24" s="407" t="s">
        <v>490</v>
      </c>
      <c r="D24" s="411">
        <f t="shared" si="1"/>
        <v>263.04000000000002</v>
      </c>
      <c r="E24" s="412">
        <f t="shared" si="2"/>
        <v>0</v>
      </c>
      <c r="F24" s="412">
        <v>0</v>
      </c>
      <c r="G24" s="412">
        <v>0</v>
      </c>
      <c r="H24" s="465">
        <f t="shared" si="3"/>
        <v>24.841000000000001</v>
      </c>
      <c r="I24" s="465">
        <v>9.0050000000000008</v>
      </c>
      <c r="J24" s="465">
        <v>15.836</v>
      </c>
      <c r="K24" s="465">
        <f t="shared" si="4"/>
        <v>107.65</v>
      </c>
      <c r="L24" s="465">
        <v>39.023000000000003</v>
      </c>
      <c r="M24" s="465">
        <v>68.626999999999995</v>
      </c>
      <c r="N24" s="465">
        <f t="shared" si="5"/>
        <v>69.010000000000005</v>
      </c>
      <c r="O24" s="465">
        <v>25.015999999999998</v>
      </c>
      <c r="P24" s="465">
        <v>43.994</v>
      </c>
      <c r="Q24" s="465">
        <f t="shared" si="9"/>
        <v>61.539000000000001</v>
      </c>
      <c r="R24" s="465">
        <v>22.308</v>
      </c>
      <c r="S24" s="465">
        <v>39.231000000000002</v>
      </c>
      <c r="T24" s="465">
        <v>0</v>
      </c>
      <c r="U24" s="465">
        <v>0</v>
      </c>
      <c r="V24" s="465">
        <v>0</v>
      </c>
      <c r="W24" s="465">
        <f t="shared" si="7"/>
        <v>0</v>
      </c>
      <c r="X24" s="465">
        <v>0</v>
      </c>
      <c r="Y24" s="465">
        <v>0</v>
      </c>
      <c r="Z24" s="465">
        <f t="shared" si="8"/>
        <v>0</v>
      </c>
      <c r="AA24" s="465">
        <v>0</v>
      </c>
      <c r="AB24" s="465">
        <v>0</v>
      </c>
      <c r="AE24" s="442"/>
      <c r="AF24" s="483"/>
      <c r="AG24" s="483"/>
    </row>
    <row r="25" spans="2:33" s="439" customFormat="1" ht="22.5" hidden="1" customHeight="1" outlineLevel="1">
      <c r="B25" s="409"/>
      <c r="C25" s="407" t="s">
        <v>491</v>
      </c>
      <c r="D25" s="411">
        <f t="shared" si="1"/>
        <v>742.5</v>
      </c>
      <c r="E25" s="412">
        <f t="shared" si="2"/>
        <v>0</v>
      </c>
      <c r="F25" s="412">
        <v>0</v>
      </c>
      <c r="G25" s="412">
        <v>0</v>
      </c>
      <c r="H25" s="465">
        <f t="shared" si="3"/>
        <v>0</v>
      </c>
      <c r="I25" s="465">
        <v>0</v>
      </c>
      <c r="J25" s="465">
        <v>0</v>
      </c>
      <c r="K25" s="465">
        <f t="shared" si="4"/>
        <v>98.453000000000003</v>
      </c>
      <c r="L25" s="465">
        <v>35.689</v>
      </c>
      <c r="M25" s="465">
        <v>62.764000000000003</v>
      </c>
      <c r="N25" s="465">
        <f t="shared" si="5"/>
        <v>74.188000000000002</v>
      </c>
      <c r="O25" s="465">
        <v>26.893000000000001</v>
      </c>
      <c r="P25" s="465">
        <v>47.295000000000002</v>
      </c>
      <c r="Q25" s="465">
        <f t="shared" si="9"/>
        <v>75.712999999999994</v>
      </c>
      <c r="R25" s="465">
        <v>27.446000000000002</v>
      </c>
      <c r="S25" s="465">
        <v>48.267000000000003</v>
      </c>
      <c r="T25" s="465">
        <f t="shared" si="6"/>
        <v>251.73500000000001</v>
      </c>
      <c r="U25" s="465">
        <v>91.254000000000005</v>
      </c>
      <c r="V25" s="465">
        <v>160.48099999999999</v>
      </c>
      <c r="W25" s="465">
        <f t="shared" si="7"/>
        <v>202.81100000000001</v>
      </c>
      <c r="X25" s="465">
        <v>73.519000000000005</v>
      </c>
      <c r="Y25" s="465">
        <v>129.292</v>
      </c>
      <c r="Z25" s="465">
        <f t="shared" si="8"/>
        <v>39.6</v>
      </c>
      <c r="AA25" s="465">
        <v>14.355</v>
      </c>
      <c r="AB25" s="465">
        <v>25.245000000000001</v>
      </c>
      <c r="AE25" s="442"/>
      <c r="AF25" s="483"/>
      <c r="AG25" s="483"/>
    </row>
    <row r="26" spans="2:33" s="439" customFormat="1" ht="22.5" hidden="1" customHeight="1" outlineLevel="1">
      <c r="B26" s="409"/>
      <c r="C26" s="407" t="s">
        <v>492</v>
      </c>
      <c r="D26" s="411">
        <f t="shared" si="1"/>
        <v>607.5</v>
      </c>
      <c r="E26" s="412">
        <f t="shared" si="2"/>
        <v>0</v>
      </c>
      <c r="F26" s="412">
        <v>0</v>
      </c>
      <c r="G26" s="412">
        <v>0</v>
      </c>
      <c r="H26" s="465">
        <f t="shared" si="3"/>
        <v>0</v>
      </c>
      <c r="I26" s="465">
        <v>0</v>
      </c>
      <c r="J26" s="465">
        <v>0</v>
      </c>
      <c r="K26" s="465">
        <f t="shared" si="4"/>
        <v>80.552000000000007</v>
      </c>
      <c r="L26" s="465">
        <v>29.2</v>
      </c>
      <c r="M26" s="465">
        <v>51.351999999999997</v>
      </c>
      <c r="N26" s="465">
        <f t="shared" si="5"/>
        <v>60.7</v>
      </c>
      <c r="O26" s="465">
        <v>22.004000000000001</v>
      </c>
      <c r="P26" s="465">
        <v>38.695999999999998</v>
      </c>
      <c r="Q26" s="465">
        <f t="shared" si="9"/>
        <v>61.947000000000003</v>
      </c>
      <c r="R26" s="465">
        <v>22.456</v>
      </c>
      <c r="S26" s="465">
        <v>39.491</v>
      </c>
      <c r="T26" s="465">
        <f t="shared" si="6"/>
        <v>205.964</v>
      </c>
      <c r="U26" s="465">
        <v>74.662000000000006</v>
      </c>
      <c r="V26" s="465">
        <v>131.30199999999999</v>
      </c>
      <c r="W26" s="465">
        <f t="shared" si="7"/>
        <v>165.93700000000001</v>
      </c>
      <c r="X26" s="465">
        <v>60.152000000000001</v>
      </c>
      <c r="Y26" s="465">
        <v>105.785</v>
      </c>
      <c r="Z26" s="465">
        <f t="shared" si="8"/>
        <v>32.4</v>
      </c>
      <c r="AA26" s="465">
        <v>11.744999999999999</v>
      </c>
      <c r="AB26" s="465">
        <v>20.655000000000001</v>
      </c>
      <c r="AE26" s="442"/>
      <c r="AF26" s="483"/>
      <c r="AG26" s="483"/>
    </row>
    <row r="27" spans="2:33" s="439" customFormat="1" ht="22.5" hidden="1" customHeight="1" outlineLevel="1">
      <c r="B27" s="413"/>
      <c r="C27" s="407" t="s">
        <v>493</v>
      </c>
      <c r="D27" s="411">
        <f t="shared" si="1"/>
        <v>300.00200000000001</v>
      </c>
      <c r="E27" s="412">
        <f t="shared" si="2"/>
        <v>0</v>
      </c>
      <c r="F27" s="412">
        <v>0</v>
      </c>
      <c r="G27" s="412">
        <v>0</v>
      </c>
      <c r="H27" s="465">
        <f t="shared" si="3"/>
        <v>0</v>
      </c>
      <c r="I27" s="465">
        <v>0</v>
      </c>
      <c r="J27" s="465">
        <v>0</v>
      </c>
      <c r="K27" s="465">
        <f t="shared" si="4"/>
        <v>120</v>
      </c>
      <c r="L27" s="465">
        <v>43.5</v>
      </c>
      <c r="M27" s="465">
        <v>76.5</v>
      </c>
      <c r="N27" s="465">
        <f t="shared" si="5"/>
        <v>100.20099999999999</v>
      </c>
      <c r="O27" s="465">
        <v>36.323</v>
      </c>
      <c r="P27" s="465">
        <v>63.878</v>
      </c>
      <c r="Q27" s="465">
        <f t="shared" si="9"/>
        <v>79.801000000000002</v>
      </c>
      <c r="R27" s="465">
        <v>28.928000000000001</v>
      </c>
      <c r="S27" s="465">
        <v>50.872999999999998</v>
      </c>
      <c r="T27" s="465">
        <f t="shared" si="6"/>
        <v>0</v>
      </c>
      <c r="U27" s="465">
        <v>0</v>
      </c>
      <c r="V27" s="465">
        <v>0</v>
      </c>
      <c r="W27" s="465">
        <f t="shared" si="7"/>
        <v>0</v>
      </c>
      <c r="X27" s="465">
        <v>0</v>
      </c>
      <c r="Y27" s="465">
        <v>0</v>
      </c>
      <c r="Z27" s="465">
        <f t="shared" si="8"/>
        <v>0</v>
      </c>
      <c r="AA27" s="465">
        <v>0</v>
      </c>
      <c r="AB27" s="465">
        <v>0</v>
      </c>
      <c r="AE27" s="442"/>
      <c r="AF27" s="483"/>
      <c r="AG27" s="483"/>
    </row>
    <row r="28" spans="2:33" s="439" customFormat="1" ht="22.5" hidden="1" customHeight="1" outlineLevel="1">
      <c r="B28" s="413"/>
      <c r="C28" s="407" t="s">
        <v>494</v>
      </c>
      <c r="D28" s="411">
        <f t="shared" si="1"/>
        <v>30</v>
      </c>
      <c r="E28" s="412">
        <f t="shared" si="2"/>
        <v>0</v>
      </c>
      <c r="F28" s="412">
        <v>0</v>
      </c>
      <c r="G28" s="412">
        <v>0</v>
      </c>
      <c r="H28" s="465">
        <f>SUM(I28:J28)</f>
        <v>30</v>
      </c>
      <c r="I28" s="465">
        <v>10.875</v>
      </c>
      <c r="J28" s="465">
        <v>19.125</v>
      </c>
      <c r="K28" s="465">
        <f>SUM(L28:M28)</f>
        <v>0</v>
      </c>
      <c r="L28" s="465">
        <v>0</v>
      </c>
      <c r="M28" s="465">
        <v>0</v>
      </c>
      <c r="N28" s="465">
        <f>SUM(O28:P28)</f>
        <v>0</v>
      </c>
      <c r="O28" s="465">
        <v>0</v>
      </c>
      <c r="P28" s="465">
        <v>0</v>
      </c>
      <c r="Q28" s="465">
        <f>SUM(R28:S28)</f>
        <v>0</v>
      </c>
      <c r="R28" s="465">
        <v>0</v>
      </c>
      <c r="S28" s="465">
        <v>0</v>
      </c>
      <c r="T28" s="465">
        <f>SUM(U28:V28)</f>
        <v>0</v>
      </c>
      <c r="U28" s="465">
        <v>0</v>
      </c>
      <c r="V28" s="465">
        <v>0</v>
      </c>
      <c r="W28" s="465">
        <f>SUM(X28:Y28)</f>
        <v>0</v>
      </c>
      <c r="X28" s="465">
        <v>0</v>
      </c>
      <c r="Y28" s="465">
        <v>0</v>
      </c>
      <c r="Z28" s="465">
        <f>SUM(AA28:AB28)</f>
        <v>0</v>
      </c>
      <c r="AA28" s="465">
        <v>0</v>
      </c>
      <c r="AB28" s="465">
        <v>0</v>
      </c>
      <c r="AE28" s="442"/>
      <c r="AF28" s="483"/>
      <c r="AG28" s="483"/>
    </row>
    <row r="29" spans="2:33" s="439" customFormat="1" ht="22.5" hidden="1" customHeight="1" outlineLevel="1">
      <c r="B29" s="414"/>
      <c r="C29" s="407" t="s">
        <v>495</v>
      </c>
      <c r="D29" s="411">
        <f t="shared" si="1"/>
        <v>2200</v>
      </c>
      <c r="E29" s="412">
        <f t="shared" si="2"/>
        <v>174.22399999999999</v>
      </c>
      <c r="F29" s="412">
        <v>63.155999999999999</v>
      </c>
      <c r="G29" s="412">
        <v>111.068</v>
      </c>
      <c r="H29" s="465">
        <f t="shared" si="3"/>
        <v>236.75200000000001</v>
      </c>
      <c r="I29" s="465">
        <v>85.822999999999993</v>
      </c>
      <c r="J29" s="465">
        <v>150.929</v>
      </c>
      <c r="K29" s="465">
        <f t="shared" si="4"/>
        <v>268.52699999999999</v>
      </c>
      <c r="L29" s="465">
        <v>97.340999999999994</v>
      </c>
      <c r="M29" s="465">
        <v>171.18600000000001</v>
      </c>
      <c r="N29" s="465">
        <f t="shared" si="5"/>
        <v>295.37900000000002</v>
      </c>
      <c r="O29" s="465">
        <v>107.075</v>
      </c>
      <c r="P29" s="465">
        <v>188.304</v>
      </c>
      <c r="Q29" s="465">
        <f t="shared" si="9"/>
        <v>324.91699999999997</v>
      </c>
      <c r="R29" s="465">
        <v>117.782</v>
      </c>
      <c r="S29" s="465">
        <v>207.13499999999999</v>
      </c>
      <c r="T29" s="465">
        <f t="shared" si="6"/>
        <v>357.40899999999999</v>
      </c>
      <c r="U29" s="465">
        <v>129.56100000000001</v>
      </c>
      <c r="V29" s="465">
        <v>227.84800000000001</v>
      </c>
      <c r="W29" s="465">
        <f t="shared" si="7"/>
        <v>320</v>
      </c>
      <c r="X29" s="465">
        <v>116</v>
      </c>
      <c r="Y29" s="465">
        <v>204</v>
      </c>
      <c r="Z29" s="465">
        <f t="shared" si="8"/>
        <v>222.792</v>
      </c>
      <c r="AA29" s="465">
        <v>80.762</v>
      </c>
      <c r="AB29" s="465">
        <v>142.03</v>
      </c>
      <c r="AE29" s="442"/>
      <c r="AF29" s="483"/>
      <c r="AG29" s="483"/>
    </row>
    <row r="30" spans="2:33" s="439" customFormat="1" ht="22.5" hidden="1" customHeight="1" outlineLevel="1">
      <c r="B30" s="414"/>
      <c r="C30" s="407" t="s">
        <v>164</v>
      </c>
      <c r="D30" s="411">
        <f t="shared" si="1"/>
        <v>11226.157999999999</v>
      </c>
      <c r="E30" s="412">
        <f t="shared" si="2"/>
        <v>0</v>
      </c>
      <c r="F30" s="412">
        <v>0</v>
      </c>
      <c r="G30" s="412">
        <v>0</v>
      </c>
      <c r="H30" s="465">
        <f t="shared" si="3"/>
        <v>0</v>
      </c>
      <c r="I30" s="465">
        <v>0</v>
      </c>
      <c r="J30" s="465">
        <v>0</v>
      </c>
      <c r="K30" s="465">
        <f t="shared" si="4"/>
        <v>2706</v>
      </c>
      <c r="L30" s="465">
        <v>980.92499999999995</v>
      </c>
      <c r="M30" s="465">
        <v>1725.075</v>
      </c>
      <c r="N30" s="465">
        <f t="shared" si="5"/>
        <v>2178</v>
      </c>
      <c r="O30" s="465">
        <v>789.52499999999998</v>
      </c>
      <c r="P30" s="465">
        <v>1388.4749999999999</v>
      </c>
      <c r="Q30" s="465">
        <f t="shared" si="9"/>
        <v>2114.6010000000001</v>
      </c>
      <c r="R30" s="465">
        <v>766.54300000000001</v>
      </c>
      <c r="S30" s="465">
        <v>1348.058</v>
      </c>
      <c r="T30" s="465">
        <f t="shared" si="6"/>
        <v>2454.1</v>
      </c>
      <c r="U30" s="465">
        <v>889.61099999999999</v>
      </c>
      <c r="V30" s="465">
        <v>1564.489</v>
      </c>
      <c r="W30" s="465">
        <f t="shared" si="7"/>
        <v>1773.4570000000001</v>
      </c>
      <c r="X30" s="465">
        <v>642.87800000000004</v>
      </c>
      <c r="Y30" s="465">
        <v>1130.579</v>
      </c>
      <c r="Z30" s="465">
        <f t="shared" si="8"/>
        <v>0</v>
      </c>
      <c r="AA30" s="465">
        <v>0</v>
      </c>
      <c r="AB30" s="465">
        <v>0</v>
      </c>
      <c r="AE30" s="442"/>
      <c r="AF30" s="483"/>
      <c r="AG30" s="483"/>
    </row>
    <row r="31" spans="2:33" s="439" customFormat="1" ht="22.5" hidden="1" customHeight="1" outlineLevel="1">
      <c r="B31" s="403"/>
      <c r="C31" s="407" t="s">
        <v>496</v>
      </c>
      <c r="D31" s="411">
        <f t="shared" si="1"/>
        <v>1857.3</v>
      </c>
      <c r="E31" s="412">
        <f t="shared" si="2"/>
        <v>248.05099999999999</v>
      </c>
      <c r="F31" s="412">
        <v>248.05099999999999</v>
      </c>
      <c r="G31" s="412">
        <v>0</v>
      </c>
      <c r="H31" s="465">
        <f t="shared" si="3"/>
        <v>266.596</v>
      </c>
      <c r="I31" s="465">
        <v>266.596</v>
      </c>
      <c r="J31" s="465">
        <v>0</v>
      </c>
      <c r="K31" s="465">
        <f t="shared" si="4"/>
        <v>159.80799999999999</v>
      </c>
      <c r="L31" s="465">
        <v>159.80799999999999</v>
      </c>
      <c r="M31" s="465">
        <v>0</v>
      </c>
      <c r="N31" s="465">
        <f t="shared" si="5"/>
        <v>488.45800000000003</v>
      </c>
      <c r="O31" s="465">
        <v>488.45800000000003</v>
      </c>
      <c r="P31" s="465">
        <v>0</v>
      </c>
      <c r="Q31" s="465">
        <f t="shared" si="9"/>
        <v>488.45800000000003</v>
      </c>
      <c r="R31" s="465">
        <v>488.45800000000003</v>
      </c>
      <c r="S31" s="465">
        <v>0</v>
      </c>
      <c r="T31" s="465">
        <f t="shared" si="6"/>
        <v>99.88</v>
      </c>
      <c r="U31" s="465">
        <v>99.88</v>
      </c>
      <c r="V31" s="465">
        <v>0</v>
      </c>
      <c r="W31" s="465">
        <f t="shared" si="7"/>
        <v>79.903999999999996</v>
      </c>
      <c r="X31" s="465">
        <v>79.903999999999996</v>
      </c>
      <c r="Y31" s="465">
        <v>0</v>
      </c>
      <c r="Z31" s="465">
        <f t="shared" si="8"/>
        <v>26.145</v>
      </c>
      <c r="AA31" s="465">
        <v>26.145</v>
      </c>
      <c r="AB31" s="465">
        <v>0</v>
      </c>
      <c r="AE31" s="442"/>
      <c r="AF31" s="483"/>
      <c r="AG31" s="483"/>
    </row>
    <row r="32" spans="2:33" s="439" customFormat="1" ht="18" hidden="1" customHeight="1" outlineLevel="1">
      <c r="B32" s="1727" t="s">
        <v>121</v>
      </c>
      <c r="C32" s="1732"/>
      <c r="D32" s="405">
        <f t="shared" si="1"/>
        <v>80999</v>
      </c>
      <c r="E32" s="406">
        <f t="shared" si="2"/>
        <v>307</v>
      </c>
      <c r="F32" s="415">
        <f>SUM(F15:F20)</f>
        <v>227</v>
      </c>
      <c r="G32" s="415">
        <f>SUM(G15:G20)</f>
        <v>80</v>
      </c>
      <c r="H32" s="461">
        <f t="shared" si="3"/>
        <v>1588</v>
      </c>
      <c r="I32" s="466">
        <f>SUM(I15:I20)</f>
        <v>700</v>
      </c>
      <c r="J32" s="466">
        <f>SUM(J15:J20)</f>
        <v>888</v>
      </c>
      <c r="K32" s="461">
        <f t="shared" si="4"/>
        <v>25475</v>
      </c>
      <c r="L32" s="466">
        <f>SUM(L15:L20)</f>
        <v>9309</v>
      </c>
      <c r="M32" s="466">
        <f>SUM(M15:M20)</f>
        <v>16166</v>
      </c>
      <c r="N32" s="461">
        <f t="shared" si="5"/>
        <v>17835</v>
      </c>
      <c r="O32" s="466">
        <f>SUM(O15:O20)</f>
        <v>6691</v>
      </c>
      <c r="P32" s="466">
        <f>SUM(P15:P20)</f>
        <v>11144</v>
      </c>
      <c r="Q32" s="461">
        <f t="shared" si="9"/>
        <v>16791</v>
      </c>
      <c r="R32" s="466">
        <f>SUM(R15:R20)</f>
        <v>6270</v>
      </c>
      <c r="S32" s="466">
        <f>SUM(S15:S20)</f>
        <v>10521</v>
      </c>
      <c r="T32" s="461">
        <f t="shared" si="6"/>
        <v>13510</v>
      </c>
      <c r="U32" s="466">
        <f>SUM(U15:U20)</f>
        <v>4930</v>
      </c>
      <c r="V32" s="466">
        <f>SUM(V15:V20)</f>
        <v>8580</v>
      </c>
      <c r="W32" s="461">
        <f t="shared" si="7"/>
        <v>5334</v>
      </c>
      <c r="X32" s="466">
        <f>SUM(X15:X20)</f>
        <v>1958</v>
      </c>
      <c r="Y32" s="466">
        <f>SUM(Y15:Y20)</f>
        <v>3376</v>
      </c>
      <c r="Z32" s="461">
        <f t="shared" si="8"/>
        <v>159</v>
      </c>
      <c r="AA32" s="466">
        <f>SUM(AA15:AA20)</f>
        <v>66</v>
      </c>
      <c r="AB32" s="466">
        <f>SUM(AB15:AB20)</f>
        <v>93</v>
      </c>
      <c r="AE32" s="442"/>
      <c r="AF32" s="483"/>
      <c r="AG32" s="483"/>
    </row>
    <row r="33" spans="2:33" s="439" customFormat="1" ht="70.5" customHeight="1" collapsed="1">
      <c r="B33" s="443">
        <v>6</v>
      </c>
      <c r="C33" s="407" t="s">
        <v>512</v>
      </c>
      <c r="D33" s="405">
        <f>E33+H33+K33+N33+Q33+T33+W33+Z33</f>
        <v>25697</v>
      </c>
      <c r="E33" s="406">
        <f>SUM(F33:G33)</f>
        <v>88</v>
      </c>
      <c r="F33" s="416">
        <v>64</v>
      </c>
      <c r="G33" s="416">
        <v>24</v>
      </c>
      <c r="H33" s="461">
        <f>SUM(I33:J33)</f>
        <v>110</v>
      </c>
      <c r="I33" s="467">
        <v>75</v>
      </c>
      <c r="J33" s="467">
        <v>35</v>
      </c>
      <c r="K33" s="461">
        <f>SUM(L33:M33)</f>
        <v>761</v>
      </c>
      <c r="L33" s="467">
        <v>296</v>
      </c>
      <c r="M33" s="467">
        <v>465</v>
      </c>
      <c r="N33" s="461">
        <f>SUM(O33:P33)</f>
        <v>700</v>
      </c>
      <c r="O33" s="467">
        <v>320</v>
      </c>
      <c r="P33" s="467">
        <v>380</v>
      </c>
      <c r="Q33" s="461">
        <f>SUM(R33:S33)</f>
        <v>1126</v>
      </c>
      <c r="R33" s="467">
        <v>518</v>
      </c>
      <c r="S33" s="467">
        <v>608</v>
      </c>
      <c r="T33" s="461">
        <f>SUM(U33:V33)</f>
        <v>10151</v>
      </c>
      <c r="U33" s="467">
        <v>3707</v>
      </c>
      <c r="V33" s="467">
        <v>6444</v>
      </c>
      <c r="W33" s="461">
        <f>SUM(X33:Y33)</f>
        <v>12599</v>
      </c>
      <c r="X33" s="467">
        <v>4593</v>
      </c>
      <c r="Y33" s="467">
        <v>8006</v>
      </c>
      <c r="Z33" s="461">
        <f>SUM(AA33:AB33)</f>
        <v>162</v>
      </c>
      <c r="AA33" s="467">
        <v>67</v>
      </c>
      <c r="AB33" s="467">
        <v>95</v>
      </c>
      <c r="AE33" s="442"/>
      <c r="AF33" s="485">
        <f>D33-E33</f>
        <v>25609</v>
      </c>
      <c r="AG33" s="483"/>
    </row>
    <row r="34" spans="2:33" s="439" customFormat="1" ht="18" customHeight="1">
      <c r="B34" s="1727" t="s">
        <v>121</v>
      </c>
      <c r="C34" s="1732"/>
      <c r="D34" s="405">
        <f t="shared" si="1"/>
        <v>106696</v>
      </c>
      <c r="E34" s="406">
        <f t="shared" si="2"/>
        <v>395</v>
      </c>
      <c r="F34" s="415">
        <f>F33+F32</f>
        <v>291</v>
      </c>
      <c r="G34" s="415">
        <f>G33+G32</f>
        <v>104</v>
      </c>
      <c r="H34" s="461">
        <f>SUM(I34:J34)</f>
        <v>1698</v>
      </c>
      <c r="I34" s="466">
        <f>I33+I32</f>
        <v>775</v>
      </c>
      <c r="J34" s="466">
        <f>J33+J32</f>
        <v>923</v>
      </c>
      <c r="K34" s="461">
        <f>SUM(L34:M34)</f>
        <v>26236</v>
      </c>
      <c r="L34" s="466">
        <f>L33+L32</f>
        <v>9605</v>
      </c>
      <c r="M34" s="466">
        <f>M33+M32</f>
        <v>16631</v>
      </c>
      <c r="N34" s="461">
        <f>SUM(O34:P34)</f>
        <v>18535</v>
      </c>
      <c r="O34" s="466">
        <f>O33+O32</f>
        <v>7011</v>
      </c>
      <c r="P34" s="466">
        <f>P33+P32</f>
        <v>11524</v>
      </c>
      <c r="Q34" s="461">
        <f>SUM(R34:S34)</f>
        <v>17917</v>
      </c>
      <c r="R34" s="466">
        <f>R33+R32</f>
        <v>6788</v>
      </c>
      <c r="S34" s="466">
        <f>S33+S32</f>
        <v>11129</v>
      </c>
      <c r="T34" s="461">
        <f>SUM(U34:V34)</f>
        <v>23661</v>
      </c>
      <c r="U34" s="466">
        <f>U33+U32</f>
        <v>8637</v>
      </c>
      <c r="V34" s="466">
        <f>V33+V32</f>
        <v>15024</v>
      </c>
      <c r="W34" s="461">
        <f>SUM(X34:Y34)</f>
        <v>17933</v>
      </c>
      <c r="X34" s="466">
        <f>X33+X32</f>
        <v>6551</v>
      </c>
      <c r="Y34" s="466">
        <f>Y33+Y32</f>
        <v>11382</v>
      </c>
      <c r="Z34" s="461">
        <f>SUM(AA34:AB34)</f>
        <v>321</v>
      </c>
      <c r="AA34" s="466">
        <f>AA33+AA32</f>
        <v>133</v>
      </c>
      <c r="AB34" s="466">
        <f>AB33+AB32</f>
        <v>188</v>
      </c>
      <c r="AE34" s="442"/>
      <c r="AF34" s="446">
        <f>D34-E34</f>
        <v>106301</v>
      </c>
    </row>
    <row r="35" spans="2:33" s="439" customFormat="1" ht="23.25" customHeight="1">
      <c r="B35" s="1721" t="s">
        <v>15</v>
      </c>
      <c r="C35" s="1722"/>
      <c r="D35" s="417">
        <f>E35+H35+K35+N35+Q35+T35+W35+Z35</f>
        <v>114000</v>
      </c>
      <c r="E35" s="417">
        <f>E34+E12</f>
        <v>422</v>
      </c>
      <c r="F35" s="417">
        <f>F34+F12</f>
        <v>311</v>
      </c>
      <c r="G35" s="417">
        <f>G34+G12</f>
        <v>111</v>
      </c>
      <c r="H35" s="461">
        <f t="shared" ref="H35:AB35" si="11">H34+H12</f>
        <v>2412</v>
      </c>
      <c r="I35" s="461">
        <f t="shared" si="11"/>
        <v>1045</v>
      </c>
      <c r="J35" s="461">
        <f t="shared" si="11"/>
        <v>1367</v>
      </c>
      <c r="K35" s="461">
        <f t="shared" si="11"/>
        <v>26592</v>
      </c>
      <c r="L35" s="461">
        <f t="shared" si="11"/>
        <v>9741</v>
      </c>
      <c r="M35" s="461">
        <f t="shared" si="11"/>
        <v>16851</v>
      </c>
      <c r="N35" s="461">
        <f t="shared" si="11"/>
        <v>21564</v>
      </c>
      <c r="O35" s="461">
        <f t="shared" si="11"/>
        <v>8129</v>
      </c>
      <c r="P35" s="461">
        <f t="shared" si="11"/>
        <v>13435</v>
      </c>
      <c r="Q35" s="461">
        <f t="shared" si="11"/>
        <v>20907</v>
      </c>
      <c r="R35" s="461">
        <f t="shared" si="11"/>
        <v>7890</v>
      </c>
      <c r="S35" s="461">
        <f t="shared" si="11"/>
        <v>13017</v>
      </c>
      <c r="T35" s="461">
        <f t="shared" si="11"/>
        <v>23849</v>
      </c>
      <c r="U35" s="461">
        <f t="shared" si="11"/>
        <v>8709</v>
      </c>
      <c r="V35" s="461">
        <f t="shared" si="11"/>
        <v>15140</v>
      </c>
      <c r="W35" s="461">
        <f t="shared" si="11"/>
        <v>17933</v>
      </c>
      <c r="X35" s="461">
        <f t="shared" si="11"/>
        <v>6551</v>
      </c>
      <c r="Y35" s="461">
        <f t="shared" si="11"/>
        <v>11382</v>
      </c>
      <c r="Z35" s="461">
        <f t="shared" si="11"/>
        <v>321</v>
      </c>
      <c r="AA35" s="461">
        <f t="shared" si="11"/>
        <v>133</v>
      </c>
      <c r="AB35" s="461">
        <f t="shared" si="11"/>
        <v>188</v>
      </c>
      <c r="AD35" s="442"/>
      <c r="AE35" s="444"/>
      <c r="AF35" s="445"/>
    </row>
    <row r="36" spans="2:33" s="439" customFormat="1" ht="3.75" customHeight="1">
      <c r="B36" s="1723"/>
      <c r="C36" s="1723"/>
      <c r="D36" s="418"/>
      <c r="E36" s="419"/>
      <c r="F36" s="419"/>
      <c r="G36" s="419"/>
      <c r="H36" s="468"/>
      <c r="I36" s="468"/>
      <c r="J36" s="468"/>
      <c r="K36" s="468"/>
      <c r="L36" s="468"/>
      <c r="M36" s="468"/>
      <c r="N36" s="454"/>
      <c r="O36" s="454"/>
      <c r="P36" s="454"/>
      <c r="Q36" s="454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</row>
    <row r="37" spans="2:33" s="439" customFormat="1" ht="8.25" customHeight="1">
      <c r="B37" s="418"/>
      <c r="C37" s="418"/>
      <c r="D37" s="418"/>
      <c r="E37" s="419"/>
      <c r="F37" s="419"/>
      <c r="G37" s="419"/>
      <c r="H37" s="468"/>
      <c r="I37" s="468"/>
      <c r="J37" s="468"/>
      <c r="K37" s="468"/>
      <c r="L37" s="468"/>
      <c r="M37" s="468"/>
      <c r="N37" s="454"/>
      <c r="O37" s="454"/>
      <c r="P37" s="454"/>
      <c r="Q37" s="454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E37" s="446"/>
    </row>
    <row r="38" spans="2:33" s="439" customFormat="1" ht="13.5" customHeight="1">
      <c r="B38" s="420"/>
      <c r="C38" s="421" t="s">
        <v>497</v>
      </c>
      <c r="D38" s="422">
        <f>D35-D9-D15</f>
        <v>114000</v>
      </c>
      <c r="E38" s="422">
        <f>E35-E9-E15</f>
        <v>422</v>
      </c>
      <c r="F38" s="419"/>
      <c r="G38" s="419"/>
      <c r="H38" s="469">
        <f>H35-H9-H15</f>
        <v>2412</v>
      </c>
      <c r="I38" s="468"/>
      <c r="J38" s="468"/>
      <c r="K38" s="469">
        <f>K35-K9-K15</f>
        <v>26592</v>
      </c>
      <c r="L38" s="468"/>
      <c r="M38" s="468"/>
      <c r="N38" s="469">
        <f>N35-N9-N15</f>
        <v>21564</v>
      </c>
      <c r="O38" s="454"/>
      <c r="P38" s="454"/>
      <c r="Q38" s="469">
        <f>Q35-Q9-Q15</f>
        <v>20907</v>
      </c>
      <c r="R38" s="455"/>
      <c r="S38" s="455"/>
      <c r="T38" s="469">
        <f>T35-T9-T15</f>
        <v>23849</v>
      </c>
      <c r="U38" s="455"/>
      <c r="V38" s="455"/>
      <c r="W38" s="469">
        <f>W35-W9-W15</f>
        <v>17933</v>
      </c>
      <c r="X38" s="455"/>
      <c r="Y38" s="455"/>
      <c r="Z38" s="469">
        <f>Z35-Z9-Z15</f>
        <v>321</v>
      </c>
      <c r="AA38" s="455"/>
      <c r="AB38" s="455"/>
      <c r="AD38" s="442">
        <f>SUM(E38:Z38)</f>
        <v>114000</v>
      </c>
    </row>
    <row r="39" spans="2:33" s="439" customFormat="1" ht="19.5" customHeight="1">
      <c r="B39" s="420"/>
      <c r="C39" s="421" t="s">
        <v>498</v>
      </c>
      <c r="D39" s="423">
        <f>E39+H39+K39+N39+Q39+T39+W39+Z39</f>
        <v>113999.999</v>
      </c>
      <c r="E39" s="423">
        <v>422.27499999999998</v>
      </c>
      <c r="F39" s="419"/>
      <c r="G39" s="423">
        <v>111.068</v>
      </c>
      <c r="H39" s="470">
        <v>2411.4650000000001</v>
      </c>
      <c r="I39" s="468"/>
      <c r="J39" s="470">
        <v>1367.354</v>
      </c>
      <c r="K39" s="470">
        <v>26592.254000000001</v>
      </c>
      <c r="L39" s="468"/>
      <c r="M39" s="470">
        <v>16850.684000000001</v>
      </c>
      <c r="N39" s="470">
        <v>21563.593000000001</v>
      </c>
      <c r="O39" s="471"/>
      <c r="P39" s="470">
        <v>13435.398999999999</v>
      </c>
      <c r="Q39" s="470">
        <v>20906.794000000002</v>
      </c>
      <c r="R39" s="472"/>
      <c r="S39" s="470">
        <v>13016.689</v>
      </c>
      <c r="T39" s="470">
        <v>23849.370999999999</v>
      </c>
      <c r="U39" s="472"/>
      <c r="V39" s="470">
        <v>15140.300999999999</v>
      </c>
      <c r="W39" s="470">
        <v>17933.309000000001</v>
      </c>
      <c r="X39" s="472"/>
      <c r="Y39" s="470">
        <v>11381.546</v>
      </c>
      <c r="Z39" s="470">
        <v>320.93799999999999</v>
      </c>
      <c r="AA39" s="472"/>
      <c r="AB39" s="470">
        <v>187.93</v>
      </c>
    </row>
    <row r="40" spans="2:33" s="439" customFormat="1" ht="15.75" customHeight="1">
      <c r="B40" s="424"/>
      <c r="C40" s="424" t="s">
        <v>499</v>
      </c>
      <c r="D40" s="425">
        <f>E40+H40+K40+N40+Q40+T40+W40+Z40</f>
        <v>112142.7</v>
      </c>
      <c r="E40" s="425">
        <f>E35-E9-E15-E41</f>
        <v>173.94900000000001</v>
      </c>
      <c r="F40" s="425">
        <f>F35-F41-F9-F15</f>
        <v>62.948999999999998</v>
      </c>
      <c r="G40" s="425">
        <f>G35-G41-G9-G15</f>
        <v>111</v>
      </c>
      <c r="H40" s="473">
        <f t="shared" ref="H40:AC40" si="12">H35-H41</f>
        <v>2145.404</v>
      </c>
      <c r="I40" s="473">
        <f t="shared" si="12"/>
        <v>778.404</v>
      </c>
      <c r="J40" s="473">
        <f t="shared" si="12"/>
        <v>1367</v>
      </c>
      <c r="K40" s="473">
        <f t="shared" si="12"/>
        <v>26432.191999999999</v>
      </c>
      <c r="L40" s="473">
        <f t="shared" si="12"/>
        <v>9581.1919999999991</v>
      </c>
      <c r="M40" s="473">
        <f t="shared" si="12"/>
        <v>16851</v>
      </c>
      <c r="N40" s="473">
        <f t="shared" si="12"/>
        <v>21075.542000000001</v>
      </c>
      <c r="O40" s="473">
        <f t="shared" si="12"/>
        <v>7640.5420000000004</v>
      </c>
      <c r="P40" s="473">
        <f t="shared" si="12"/>
        <v>13435</v>
      </c>
      <c r="Q40" s="473">
        <f t="shared" si="12"/>
        <v>20418.542000000001</v>
      </c>
      <c r="R40" s="473">
        <f t="shared" si="12"/>
        <v>7401.5420000000004</v>
      </c>
      <c r="S40" s="473">
        <f t="shared" si="12"/>
        <v>13017</v>
      </c>
      <c r="T40" s="473">
        <f t="shared" si="12"/>
        <v>23749.119999999999</v>
      </c>
      <c r="U40" s="473">
        <f t="shared" si="12"/>
        <v>8609.1200000000008</v>
      </c>
      <c r="V40" s="473">
        <f t="shared" si="12"/>
        <v>15140</v>
      </c>
      <c r="W40" s="473">
        <f t="shared" si="12"/>
        <v>17853.096000000001</v>
      </c>
      <c r="X40" s="473">
        <f t="shared" si="12"/>
        <v>6471.0959999999995</v>
      </c>
      <c r="Y40" s="473">
        <f t="shared" si="12"/>
        <v>11382</v>
      </c>
      <c r="Z40" s="473">
        <f t="shared" si="12"/>
        <v>294.85500000000002</v>
      </c>
      <c r="AA40" s="473">
        <f t="shared" si="12"/>
        <v>106.855</v>
      </c>
      <c r="AB40" s="473">
        <f t="shared" si="12"/>
        <v>188</v>
      </c>
      <c r="AC40" s="426">
        <f t="shared" si="12"/>
        <v>0</v>
      </c>
      <c r="AD40" s="442">
        <f>AB40+Y40+V40+S40+P40+M40+J40+G40</f>
        <v>71491</v>
      </c>
      <c r="AE40" s="447">
        <v>71491</v>
      </c>
    </row>
    <row r="41" spans="2:33" s="439" customFormat="1" ht="15.75" customHeight="1">
      <c r="B41" s="424"/>
      <c r="C41" s="424" t="s">
        <v>500</v>
      </c>
      <c r="D41" s="425">
        <f>E41+H41+K41+N41+Q41+T41+W41+Z41</f>
        <v>1857.3</v>
      </c>
      <c r="E41" s="425">
        <f>E31</f>
        <v>248.05099999999999</v>
      </c>
      <c r="F41" s="425">
        <f>F31</f>
        <v>248.05099999999999</v>
      </c>
      <c r="G41" s="425"/>
      <c r="H41" s="473">
        <f>H31</f>
        <v>266.596</v>
      </c>
      <c r="I41" s="473">
        <f>I31</f>
        <v>266.596</v>
      </c>
      <c r="J41" s="473"/>
      <c r="K41" s="473">
        <f t="shared" ref="K41:R41" si="13">K31</f>
        <v>159.80799999999999</v>
      </c>
      <c r="L41" s="473">
        <f t="shared" si="13"/>
        <v>159.80799999999999</v>
      </c>
      <c r="M41" s="473"/>
      <c r="N41" s="473">
        <f t="shared" si="13"/>
        <v>488.45800000000003</v>
      </c>
      <c r="O41" s="473">
        <f t="shared" si="13"/>
        <v>488.45800000000003</v>
      </c>
      <c r="P41" s="473">
        <f t="shared" si="13"/>
        <v>0</v>
      </c>
      <c r="Q41" s="473">
        <f t="shared" si="13"/>
        <v>488.45800000000003</v>
      </c>
      <c r="R41" s="473">
        <f t="shared" si="13"/>
        <v>488.45800000000003</v>
      </c>
      <c r="S41" s="473"/>
      <c r="T41" s="473">
        <f>T31</f>
        <v>99.88</v>
      </c>
      <c r="U41" s="473">
        <f>U31</f>
        <v>99.88</v>
      </c>
      <c r="V41" s="473"/>
      <c r="W41" s="473">
        <f>W31</f>
        <v>79.903999999999996</v>
      </c>
      <c r="X41" s="473">
        <f>X31</f>
        <v>79.903999999999996</v>
      </c>
      <c r="Y41" s="473"/>
      <c r="Z41" s="473">
        <f>Z31</f>
        <v>26.145</v>
      </c>
      <c r="AA41" s="473">
        <f>AA31</f>
        <v>26.145</v>
      </c>
      <c r="AB41" s="473"/>
    </row>
    <row r="42" spans="2:33" s="439" customFormat="1" ht="17.25" customHeight="1">
      <c r="B42" s="424"/>
      <c r="C42" s="427"/>
      <c r="D42" s="428"/>
      <c r="E42" s="429"/>
      <c r="F42" s="429"/>
      <c r="G42" s="429"/>
      <c r="H42" s="474"/>
      <c r="I42" s="475"/>
      <c r="J42" s="475"/>
      <c r="K42" s="474"/>
      <c r="L42" s="475"/>
      <c r="M42" s="475"/>
      <c r="N42" s="474"/>
      <c r="O42" s="476"/>
      <c r="P42" s="476"/>
      <c r="Q42" s="474"/>
      <c r="R42" s="455"/>
      <c r="S42" s="455"/>
      <c r="T42" s="474"/>
      <c r="U42" s="477"/>
      <c r="V42" s="455"/>
      <c r="W42" s="478"/>
      <c r="X42" s="477"/>
      <c r="Y42" s="455"/>
      <c r="Z42" s="455"/>
      <c r="AA42" s="455"/>
      <c r="AB42" s="455"/>
    </row>
    <row r="43" spans="2:33" s="439" customFormat="1" ht="17.25" customHeight="1">
      <c r="B43" s="424"/>
      <c r="C43" s="427" t="s">
        <v>513</v>
      </c>
      <c r="D43" s="432">
        <f>D35-E35</f>
        <v>113578</v>
      </c>
      <c r="E43" s="430"/>
      <c r="F43" s="430"/>
      <c r="G43" s="430"/>
      <c r="H43" s="479"/>
      <c r="I43" s="479"/>
      <c r="J43" s="479"/>
      <c r="K43" s="479"/>
      <c r="L43" s="479"/>
      <c r="M43" s="479"/>
      <c r="N43" s="479"/>
      <c r="O43" s="476"/>
      <c r="P43" s="476"/>
      <c r="Q43" s="479"/>
      <c r="R43" s="455"/>
      <c r="S43" s="455"/>
      <c r="T43" s="479"/>
      <c r="U43" s="477"/>
      <c r="V43" s="455"/>
      <c r="W43" s="479"/>
      <c r="X43" s="477"/>
      <c r="Y43" s="455"/>
      <c r="Z43" s="455"/>
      <c r="AA43" s="455"/>
      <c r="AB43" s="455"/>
    </row>
    <row r="44" spans="2:33" s="439" customFormat="1" ht="17.25" customHeight="1">
      <c r="B44" s="424"/>
      <c r="C44" s="427"/>
      <c r="D44" s="424"/>
      <c r="E44" s="426"/>
      <c r="F44" s="426"/>
      <c r="G44" s="426"/>
      <c r="H44" s="475"/>
      <c r="I44" s="475"/>
      <c r="J44" s="475"/>
      <c r="K44" s="475"/>
      <c r="L44" s="475"/>
      <c r="M44" s="475"/>
      <c r="N44" s="476"/>
      <c r="O44" s="476"/>
      <c r="P44" s="476"/>
      <c r="Q44" s="476"/>
      <c r="R44" s="455"/>
      <c r="S44" s="455"/>
      <c r="T44" s="455"/>
      <c r="U44" s="477"/>
      <c r="V44" s="455"/>
      <c r="W44" s="455"/>
      <c r="X44" s="477"/>
      <c r="Y44" s="455"/>
      <c r="Z44" s="455"/>
      <c r="AA44" s="455"/>
      <c r="AB44" s="455"/>
    </row>
    <row r="45" spans="2:33" s="439" customFormat="1" ht="17.25" customHeight="1">
      <c r="B45" s="424"/>
      <c r="C45" s="424"/>
      <c r="D45" s="424"/>
      <c r="E45" s="448"/>
      <c r="F45" s="448"/>
      <c r="G45" s="448"/>
      <c r="H45" s="475"/>
      <c r="I45" s="475"/>
      <c r="J45" s="475"/>
      <c r="K45" s="475"/>
      <c r="L45" s="475"/>
      <c r="M45" s="475"/>
      <c r="N45" s="476"/>
      <c r="O45" s="476"/>
      <c r="P45" s="476"/>
      <c r="Q45" s="476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</row>
    <row r="46" spans="2:33" s="439" customFormat="1" ht="12.75" customHeight="1">
      <c r="B46" s="424"/>
      <c r="C46" s="431"/>
      <c r="D46" s="431"/>
      <c r="E46" s="428"/>
      <c r="F46" s="428"/>
      <c r="G46" s="428"/>
      <c r="H46" s="480"/>
      <c r="I46" s="474"/>
      <c r="J46" s="474"/>
      <c r="K46" s="480"/>
      <c r="L46" s="474"/>
      <c r="M46" s="474"/>
      <c r="N46" s="480"/>
      <c r="O46" s="474"/>
      <c r="P46" s="474"/>
      <c r="Q46" s="480"/>
      <c r="R46" s="481"/>
      <c r="S46" s="474"/>
      <c r="T46" s="480"/>
      <c r="U46" s="474"/>
      <c r="V46" s="474"/>
      <c r="W46" s="474"/>
      <c r="X46" s="474"/>
      <c r="Y46" s="474"/>
      <c r="Z46" s="474"/>
      <c r="AA46" s="474"/>
      <c r="AB46" s="474"/>
    </row>
    <row r="47" spans="2:33" s="439" customFormat="1" ht="12.75" customHeight="1">
      <c r="B47" s="424"/>
      <c r="C47" s="431"/>
      <c r="D47" s="431"/>
      <c r="E47" s="432"/>
      <c r="F47" s="432"/>
      <c r="G47" s="432"/>
      <c r="H47" s="480"/>
      <c r="I47" s="474"/>
      <c r="J47" s="474"/>
      <c r="K47" s="480"/>
      <c r="L47" s="474"/>
      <c r="M47" s="474"/>
      <c r="N47" s="480"/>
      <c r="O47" s="474"/>
      <c r="P47" s="474"/>
      <c r="Q47" s="480"/>
      <c r="R47" s="481"/>
      <c r="S47" s="474"/>
      <c r="T47" s="480"/>
      <c r="U47" s="474"/>
      <c r="V47" s="474"/>
      <c r="W47" s="474"/>
      <c r="X47" s="474"/>
      <c r="Y47" s="474"/>
      <c r="Z47" s="474"/>
      <c r="AA47" s="474"/>
      <c r="AB47" s="474"/>
    </row>
    <row r="48" spans="2:33" s="439" customFormat="1" ht="12.75" customHeight="1">
      <c r="B48" s="424"/>
      <c r="C48" s="431"/>
      <c r="D48" s="431"/>
      <c r="E48" s="428"/>
      <c r="F48" s="428"/>
      <c r="G48" s="428"/>
      <c r="H48" s="480"/>
      <c r="I48" s="474"/>
      <c r="J48" s="474"/>
      <c r="K48" s="480"/>
      <c r="L48" s="474"/>
      <c r="M48" s="474"/>
      <c r="N48" s="480"/>
      <c r="O48" s="474"/>
      <c r="P48" s="474"/>
      <c r="Q48" s="480"/>
      <c r="R48" s="481"/>
      <c r="S48" s="474"/>
      <c r="T48" s="480"/>
      <c r="U48" s="474"/>
      <c r="V48" s="474"/>
      <c r="W48" s="474"/>
      <c r="X48" s="474"/>
      <c r="Y48" s="474"/>
      <c r="Z48" s="474"/>
      <c r="AA48" s="474"/>
      <c r="AB48" s="474"/>
    </row>
    <row r="49" spans="2:28" s="439" customFormat="1" ht="12.75" customHeight="1">
      <c r="B49" s="424"/>
      <c r="C49" s="431"/>
      <c r="D49" s="431"/>
      <c r="E49" s="428"/>
      <c r="F49" s="428"/>
      <c r="G49" s="428"/>
      <c r="H49" s="480"/>
      <c r="I49" s="474"/>
      <c r="J49" s="474"/>
      <c r="K49" s="480"/>
      <c r="L49" s="474"/>
      <c r="M49" s="474"/>
      <c r="N49" s="480"/>
      <c r="O49" s="474"/>
      <c r="P49" s="474"/>
      <c r="Q49" s="480"/>
      <c r="R49" s="481"/>
      <c r="S49" s="474"/>
      <c r="T49" s="480"/>
      <c r="U49" s="474"/>
      <c r="V49" s="474"/>
      <c r="W49" s="474"/>
      <c r="X49" s="474"/>
      <c r="Y49" s="474"/>
      <c r="Z49" s="474"/>
      <c r="AA49" s="474"/>
      <c r="AB49" s="474"/>
    </row>
    <row r="50" spans="2:28" s="439" customFormat="1" ht="12.75" customHeight="1">
      <c r="B50" s="424"/>
      <c r="C50" s="431"/>
      <c r="D50" s="431"/>
      <c r="E50" s="428"/>
      <c r="F50" s="428"/>
      <c r="G50" s="428"/>
      <c r="H50" s="480"/>
      <c r="I50" s="474"/>
      <c r="J50" s="474"/>
      <c r="K50" s="480"/>
      <c r="L50" s="474"/>
      <c r="M50" s="474"/>
      <c r="N50" s="480"/>
      <c r="O50" s="474"/>
      <c r="P50" s="474"/>
      <c r="Q50" s="480"/>
      <c r="R50" s="481"/>
      <c r="S50" s="474"/>
      <c r="T50" s="480"/>
      <c r="U50" s="474"/>
      <c r="V50" s="474"/>
      <c r="W50" s="474"/>
      <c r="X50" s="474"/>
      <c r="Y50" s="474"/>
      <c r="Z50" s="474"/>
      <c r="AA50" s="474"/>
      <c r="AB50" s="474"/>
    </row>
    <row r="51" spans="2:28" s="439" customFormat="1" ht="12.75" customHeight="1">
      <c r="B51" s="424"/>
      <c r="C51" s="431"/>
      <c r="D51" s="431"/>
      <c r="E51" s="428"/>
      <c r="F51" s="428"/>
      <c r="G51" s="428"/>
      <c r="H51" s="480"/>
      <c r="I51" s="474"/>
      <c r="J51" s="474"/>
      <c r="K51" s="480"/>
      <c r="L51" s="474"/>
      <c r="M51" s="474"/>
      <c r="N51" s="480"/>
      <c r="O51" s="474"/>
      <c r="P51" s="474"/>
      <c r="Q51" s="480"/>
      <c r="R51" s="481"/>
      <c r="S51" s="474"/>
      <c r="T51" s="480"/>
      <c r="U51" s="474"/>
      <c r="V51" s="474"/>
      <c r="W51" s="474"/>
      <c r="X51" s="474"/>
      <c r="Y51" s="474"/>
      <c r="Z51" s="474"/>
      <c r="AA51" s="474"/>
      <c r="AB51" s="474"/>
    </row>
    <row r="52" spans="2:28" s="439" customFormat="1" ht="12.75" customHeight="1">
      <c r="B52" s="424"/>
      <c r="C52" s="431"/>
      <c r="D52" s="431"/>
      <c r="E52" s="428"/>
      <c r="F52" s="428"/>
      <c r="G52" s="428"/>
      <c r="H52" s="480"/>
      <c r="I52" s="474"/>
      <c r="J52" s="474"/>
      <c r="K52" s="480"/>
      <c r="L52" s="474"/>
      <c r="M52" s="474"/>
      <c r="N52" s="480"/>
      <c r="O52" s="474"/>
      <c r="P52" s="474"/>
      <c r="Q52" s="480"/>
      <c r="R52" s="481"/>
      <c r="S52" s="474"/>
      <c r="T52" s="480"/>
      <c r="U52" s="474"/>
      <c r="V52" s="474"/>
      <c r="W52" s="474"/>
      <c r="X52" s="474"/>
      <c r="Y52" s="474"/>
      <c r="Z52" s="474"/>
      <c r="AA52" s="474"/>
      <c r="AB52" s="474"/>
    </row>
    <row r="53" spans="2:28" s="439" customFormat="1" ht="12.75" customHeight="1">
      <c r="B53" s="424"/>
      <c r="C53" s="431"/>
      <c r="D53" s="431"/>
      <c r="E53" s="428"/>
      <c r="F53" s="428"/>
      <c r="G53" s="428"/>
      <c r="H53" s="480"/>
      <c r="I53" s="474"/>
      <c r="J53" s="474"/>
      <c r="K53" s="480"/>
      <c r="L53" s="474"/>
      <c r="M53" s="474"/>
      <c r="N53" s="480"/>
      <c r="O53" s="474"/>
      <c r="P53" s="474"/>
      <c r="Q53" s="480"/>
      <c r="R53" s="481"/>
      <c r="S53" s="474"/>
      <c r="T53" s="480"/>
      <c r="U53" s="474"/>
      <c r="V53" s="474"/>
      <c r="W53" s="474"/>
      <c r="X53" s="474"/>
      <c r="Y53" s="474"/>
      <c r="Z53" s="474"/>
      <c r="AA53" s="474"/>
      <c r="AB53" s="474"/>
    </row>
    <row r="54" spans="2:28" s="439" customFormat="1" ht="12.75" customHeight="1">
      <c r="B54" s="424"/>
      <c r="C54" s="431"/>
      <c r="D54" s="431"/>
      <c r="E54" s="432"/>
      <c r="F54" s="432"/>
      <c r="G54" s="432"/>
      <c r="H54" s="480"/>
      <c r="I54" s="474"/>
      <c r="J54" s="474"/>
      <c r="K54" s="480"/>
      <c r="L54" s="474"/>
      <c r="M54" s="474"/>
      <c r="N54" s="480"/>
      <c r="O54" s="474"/>
      <c r="P54" s="474"/>
      <c r="Q54" s="480"/>
      <c r="R54" s="481"/>
      <c r="S54" s="474"/>
      <c r="T54" s="480"/>
      <c r="U54" s="474"/>
      <c r="V54" s="474"/>
      <c r="W54" s="474"/>
      <c r="X54" s="474"/>
      <c r="Y54" s="474"/>
      <c r="Z54" s="474"/>
      <c r="AA54" s="474"/>
      <c r="AB54" s="474"/>
    </row>
    <row r="55" spans="2:28" s="439" customFormat="1" ht="12.75" customHeight="1">
      <c r="B55" s="424"/>
      <c r="C55" s="431"/>
      <c r="D55" s="431"/>
      <c r="E55" s="432"/>
      <c r="F55" s="432"/>
      <c r="G55" s="432"/>
      <c r="H55" s="480"/>
      <c r="I55" s="474"/>
      <c r="J55" s="474"/>
      <c r="K55" s="480"/>
      <c r="L55" s="474"/>
      <c r="M55" s="474"/>
      <c r="N55" s="480"/>
      <c r="O55" s="474"/>
      <c r="P55" s="474"/>
      <c r="Q55" s="480"/>
      <c r="R55" s="481"/>
      <c r="S55" s="474"/>
      <c r="T55" s="480"/>
      <c r="U55" s="474"/>
      <c r="V55" s="474"/>
      <c r="W55" s="474"/>
      <c r="X55" s="474"/>
      <c r="Y55" s="474"/>
      <c r="Z55" s="474"/>
      <c r="AA55" s="474"/>
      <c r="AB55" s="474"/>
    </row>
    <row r="56" spans="2:28" s="439" customFormat="1" ht="12.75" customHeight="1">
      <c r="B56" s="424"/>
      <c r="C56" s="431"/>
      <c r="D56" s="431"/>
      <c r="E56" s="428"/>
      <c r="F56" s="428"/>
      <c r="G56" s="428"/>
      <c r="H56" s="480"/>
      <c r="I56" s="474"/>
      <c r="J56" s="474"/>
      <c r="K56" s="480"/>
      <c r="L56" s="474"/>
      <c r="M56" s="474"/>
      <c r="N56" s="480"/>
      <c r="O56" s="474"/>
      <c r="P56" s="474"/>
      <c r="Q56" s="480"/>
      <c r="R56" s="481"/>
      <c r="S56" s="474"/>
      <c r="T56" s="480"/>
      <c r="U56" s="474"/>
      <c r="V56" s="474"/>
      <c r="W56" s="474"/>
      <c r="X56" s="474"/>
      <c r="Y56" s="474"/>
      <c r="Z56" s="474"/>
      <c r="AA56" s="474"/>
      <c r="AB56" s="474"/>
    </row>
    <row r="57" spans="2:28" s="439" customFormat="1" ht="12.75" customHeight="1">
      <c r="B57" s="424"/>
      <c r="C57" s="431"/>
      <c r="D57" s="431"/>
      <c r="E57" s="428"/>
      <c r="F57" s="428"/>
      <c r="G57" s="428"/>
      <c r="H57" s="480"/>
      <c r="I57" s="474"/>
      <c r="J57" s="474"/>
      <c r="K57" s="480"/>
      <c r="L57" s="474"/>
      <c r="M57" s="474"/>
      <c r="N57" s="480"/>
      <c r="O57" s="474"/>
      <c r="P57" s="474"/>
      <c r="Q57" s="480"/>
      <c r="R57" s="481"/>
      <c r="S57" s="474"/>
      <c r="T57" s="480"/>
      <c r="U57" s="474"/>
      <c r="V57" s="474"/>
      <c r="W57" s="474"/>
      <c r="X57" s="474"/>
      <c r="Y57" s="474"/>
      <c r="Z57" s="474"/>
      <c r="AA57" s="474"/>
      <c r="AB57" s="474"/>
    </row>
    <row r="58" spans="2:28" s="439" customFormat="1" ht="12.75" customHeight="1">
      <c r="B58" s="424"/>
      <c r="C58" s="431"/>
      <c r="D58" s="431"/>
      <c r="E58" s="428"/>
      <c r="F58" s="428"/>
      <c r="G58" s="428"/>
      <c r="H58" s="480"/>
      <c r="I58" s="474"/>
      <c r="J58" s="474"/>
      <c r="K58" s="480"/>
      <c r="L58" s="474"/>
      <c r="M58" s="474"/>
      <c r="N58" s="480"/>
      <c r="O58" s="474"/>
      <c r="P58" s="474"/>
      <c r="Q58" s="480"/>
      <c r="R58" s="481"/>
      <c r="S58" s="474"/>
      <c r="T58" s="480"/>
      <c r="U58" s="474"/>
      <c r="V58" s="474"/>
      <c r="W58" s="474"/>
      <c r="X58" s="474"/>
      <c r="Y58" s="474"/>
      <c r="Z58" s="474"/>
      <c r="AA58" s="474"/>
      <c r="AB58" s="474"/>
    </row>
    <row r="59" spans="2:28" s="439" customFormat="1" ht="12.75" customHeight="1">
      <c r="B59" s="424"/>
      <c r="C59" s="431"/>
      <c r="D59" s="431"/>
      <c r="E59" s="424"/>
      <c r="F59" s="424"/>
      <c r="G59" s="424"/>
      <c r="H59" s="480"/>
      <c r="I59" s="474"/>
      <c r="J59" s="474"/>
      <c r="K59" s="480"/>
      <c r="L59" s="474"/>
      <c r="M59" s="474"/>
      <c r="N59" s="480"/>
      <c r="O59" s="474"/>
      <c r="P59" s="474"/>
      <c r="Q59" s="480"/>
      <c r="R59" s="481"/>
      <c r="S59" s="474"/>
      <c r="T59" s="480"/>
      <c r="U59" s="474"/>
      <c r="V59" s="474"/>
      <c r="W59" s="474"/>
      <c r="X59" s="474"/>
      <c r="Y59" s="474"/>
      <c r="Z59" s="474"/>
      <c r="AA59" s="474"/>
      <c r="AB59" s="474"/>
    </row>
    <row r="60" spans="2:28" s="439" customFormat="1" ht="12.75" customHeight="1">
      <c r="B60" s="424"/>
      <c r="C60" s="433"/>
      <c r="D60" s="433"/>
      <c r="E60" s="428"/>
      <c r="F60" s="428"/>
      <c r="G60" s="428"/>
      <c r="H60" s="480"/>
      <c r="I60" s="474"/>
      <c r="J60" s="474"/>
      <c r="K60" s="480"/>
      <c r="L60" s="474"/>
      <c r="M60" s="474"/>
      <c r="N60" s="480"/>
      <c r="O60" s="474"/>
      <c r="P60" s="474"/>
      <c r="Q60" s="480"/>
      <c r="R60" s="481"/>
      <c r="S60" s="474"/>
      <c r="T60" s="480"/>
      <c r="U60" s="474"/>
      <c r="V60" s="474"/>
      <c r="W60" s="474"/>
      <c r="X60" s="474"/>
      <c r="Y60" s="474"/>
      <c r="Z60" s="474"/>
      <c r="AA60" s="474"/>
      <c r="AB60" s="474"/>
    </row>
    <row r="61" spans="2:28" s="439" customFormat="1" ht="12.75" customHeight="1">
      <c r="B61" s="424"/>
      <c r="C61" s="433"/>
      <c r="D61" s="433"/>
      <c r="E61" s="428"/>
      <c r="F61" s="428"/>
      <c r="G61" s="428"/>
      <c r="H61" s="480"/>
      <c r="I61" s="475"/>
      <c r="J61" s="475"/>
      <c r="K61" s="480"/>
      <c r="L61" s="475"/>
      <c r="M61" s="475"/>
      <c r="N61" s="480"/>
      <c r="O61" s="475"/>
      <c r="P61" s="475"/>
      <c r="Q61" s="480"/>
      <c r="R61" s="475"/>
      <c r="S61" s="475"/>
      <c r="T61" s="480"/>
      <c r="U61" s="475"/>
      <c r="V61" s="475"/>
      <c r="W61" s="475"/>
      <c r="X61" s="475"/>
      <c r="Y61" s="475"/>
      <c r="Z61" s="475"/>
      <c r="AA61" s="475"/>
      <c r="AB61" s="475"/>
    </row>
    <row r="62" spans="2:28" s="439" customFormat="1" ht="12.75" customHeight="1">
      <c r="B62" s="424"/>
      <c r="C62" s="424"/>
      <c r="D62" s="424"/>
      <c r="E62" s="424"/>
      <c r="F62" s="424"/>
      <c r="G62" s="424"/>
      <c r="H62" s="475"/>
      <c r="I62" s="475"/>
      <c r="J62" s="475"/>
      <c r="K62" s="475"/>
      <c r="L62" s="475"/>
      <c r="M62" s="475"/>
      <c r="N62" s="476"/>
      <c r="O62" s="476"/>
      <c r="P62" s="476"/>
      <c r="Q62" s="476"/>
      <c r="R62" s="455"/>
      <c r="S62" s="455"/>
      <c r="T62" s="455"/>
      <c r="U62" s="455"/>
      <c r="V62" s="455"/>
      <c r="W62" s="455"/>
      <c r="X62" s="455"/>
      <c r="Y62" s="455"/>
      <c r="Z62" s="455"/>
      <c r="AA62" s="455"/>
      <c r="AB62" s="455"/>
    </row>
    <row r="63" spans="2:28" s="439" customFormat="1" ht="10.5">
      <c r="B63" s="424"/>
      <c r="C63" s="424"/>
      <c r="D63" s="424"/>
      <c r="E63" s="424"/>
      <c r="F63" s="424"/>
      <c r="G63" s="424"/>
      <c r="H63" s="475"/>
      <c r="I63" s="475"/>
      <c r="J63" s="475"/>
      <c r="K63" s="475"/>
      <c r="L63" s="475"/>
      <c r="M63" s="475"/>
      <c r="N63" s="476"/>
      <c r="O63" s="476"/>
      <c r="P63" s="476"/>
      <c r="Q63" s="476"/>
      <c r="R63" s="455"/>
      <c r="S63" s="455"/>
      <c r="T63" s="455"/>
      <c r="U63" s="455"/>
      <c r="V63" s="455"/>
      <c r="W63" s="455"/>
      <c r="X63" s="455"/>
      <c r="Y63" s="455"/>
      <c r="Z63" s="455"/>
      <c r="AA63" s="455"/>
      <c r="AB63" s="455"/>
    </row>
    <row r="64" spans="2:28" s="439" customFormat="1" ht="10.5">
      <c r="B64" s="424"/>
      <c r="C64" s="424"/>
      <c r="D64" s="424"/>
      <c r="E64" s="424"/>
      <c r="F64" s="424"/>
      <c r="G64" s="424"/>
      <c r="H64" s="475"/>
      <c r="I64" s="475"/>
      <c r="J64" s="475"/>
      <c r="K64" s="475"/>
      <c r="L64" s="475"/>
      <c r="M64" s="475"/>
      <c r="N64" s="476"/>
      <c r="O64" s="476"/>
      <c r="P64" s="476"/>
      <c r="Q64" s="476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</row>
    <row r="65" spans="2:28" s="439" customFormat="1" ht="20.25" customHeight="1">
      <c r="B65" s="424"/>
      <c r="C65" s="424"/>
      <c r="D65" s="424"/>
      <c r="E65" s="424"/>
      <c r="F65" s="424"/>
      <c r="G65" s="424"/>
      <c r="H65" s="475"/>
      <c r="I65" s="475"/>
      <c r="J65" s="475"/>
      <c r="K65" s="475"/>
      <c r="L65" s="475"/>
      <c r="M65" s="475"/>
      <c r="N65" s="476"/>
      <c r="O65" s="476"/>
      <c r="P65" s="476"/>
      <c r="Q65" s="476"/>
      <c r="R65" s="455"/>
      <c r="S65" s="455"/>
      <c r="T65" s="455"/>
      <c r="U65" s="455"/>
      <c r="V65" s="455"/>
      <c r="W65" s="455"/>
      <c r="X65" s="455"/>
      <c r="Y65" s="455"/>
      <c r="Z65" s="455"/>
      <c r="AA65" s="455"/>
      <c r="AB65" s="455"/>
    </row>
    <row r="66" spans="2:28" s="439" customFormat="1" ht="10.5">
      <c r="B66" s="424"/>
      <c r="C66" s="424"/>
      <c r="D66" s="424"/>
      <c r="E66" s="424"/>
      <c r="F66" s="424"/>
      <c r="G66" s="424"/>
      <c r="H66" s="475"/>
      <c r="I66" s="475"/>
      <c r="J66" s="475"/>
      <c r="K66" s="475"/>
      <c r="L66" s="475"/>
      <c r="M66" s="475"/>
      <c r="N66" s="476"/>
      <c r="O66" s="476"/>
      <c r="P66" s="476"/>
      <c r="Q66" s="476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</row>
    <row r="67" spans="2:28" s="439" customFormat="1" ht="10.5">
      <c r="B67" s="424"/>
      <c r="C67" s="424"/>
      <c r="D67" s="424"/>
      <c r="E67" s="424"/>
      <c r="F67" s="424"/>
      <c r="G67" s="424"/>
      <c r="H67" s="475"/>
      <c r="I67" s="475"/>
      <c r="J67" s="475"/>
      <c r="K67" s="475"/>
      <c r="L67" s="475"/>
      <c r="M67" s="475"/>
      <c r="N67" s="476"/>
      <c r="O67" s="476"/>
      <c r="P67" s="476"/>
      <c r="Q67" s="476"/>
      <c r="R67" s="455"/>
      <c r="S67" s="455"/>
      <c r="T67" s="455"/>
      <c r="U67" s="455"/>
      <c r="V67" s="455"/>
      <c r="W67" s="455"/>
      <c r="X67" s="455"/>
      <c r="Y67" s="455"/>
      <c r="Z67" s="455"/>
      <c r="AA67" s="455"/>
      <c r="AB67" s="455"/>
    </row>
    <row r="68" spans="2:28" s="439" customFormat="1" ht="10.5">
      <c r="B68" s="424"/>
      <c r="C68" s="424"/>
      <c r="D68" s="424"/>
      <c r="E68" s="424"/>
      <c r="F68" s="424"/>
      <c r="G68" s="424"/>
      <c r="H68" s="475"/>
      <c r="I68" s="475"/>
      <c r="J68" s="475"/>
      <c r="K68" s="475"/>
      <c r="L68" s="475"/>
      <c r="M68" s="475"/>
      <c r="N68" s="476"/>
      <c r="O68" s="476"/>
      <c r="P68" s="476"/>
      <c r="Q68" s="476"/>
      <c r="R68" s="455"/>
      <c r="S68" s="455"/>
      <c r="T68" s="455"/>
      <c r="U68" s="455"/>
      <c r="V68" s="455"/>
      <c r="W68" s="455"/>
      <c r="X68" s="455"/>
      <c r="Y68" s="455"/>
      <c r="Z68" s="455"/>
      <c r="AA68" s="455"/>
      <c r="AB68" s="455"/>
    </row>
    <row r="69" spans="2:28" s="439" customFormat="1" ht="10.5">
      <c r="B69" s="424"/>
      <c r="C69" s="424"/>
      <c r="D69" s="424"/>
      <c r="E69" s="424"/>
      <c r="F69" s="424"/>
      <c r="G69" s="424"/>
      <c r="H69" s="475"/>
      <c r="I69" s="475"/>
      <c r="J69" s="475"/>
      <c r="K69" s="475"/>
      <c r="L69" s="475"/>
      <c r="M69" s="475"/>
      <c r="N69" s="476"/>
      <c r="O69" s="476"/>
      <c r="P69" s="476"/>
      <c r="Q69" s="476"/>
      <c r="R69" s="455"/>
      <c r="S69" s="455"/>
      <c r="T69" s="455"/>
      <c r="U69" s="455"/>
      <c r="V69" s="455"/>
      <c r="W69" s="455"/>
      <c r="X69" s="455"/>
      <c r="Y69" s="455"/>
      <c r="Z69" s="455"/>
      <c r="AA69" s="455"/>
      <c r="AB69" s="455"/>
    </row>
    <row r="70" spans="2:28" s="439" customFormat="1" ht="10.5">
      <c r="B70" s="424"/>
      <c r="C70" s="424"/>
      <c r="D70" s="424"/>
      <c r="E70" s="424"/>
      <c r="F70" s="424"/>
      <c r="G70" s="424"/>
      <c r="H70" s="475"/>
      <c r="I70" s="475"/>
      <c r="J70" s="475"/>
      <c r="K70" s="475"/>
      <c r="L70" s="475"/>
      <c r="M70" s="475"/>
      <c r="N70" s="476"/>
      <c r="O70" s="476"/>
      <c r="P70" s="476"/>
      <c r="Q70" s="476"/>
      <c r="R70" s="455"/>
      <c r="S70" s="455"/>
      <c r="T70" s="455"/>
      <c r="U70" s="455"/>
      <c r="V70" s="455"/>
      <c r="W70" s="455"/>
      <c r="X70" s="455"/>
      <c r="Y70" s="455"/>
      <c r="Z70" s="455"/>
      <c r="AA70" s="455"/>
      <c r="AB70" s="455"/>
    </row>
    <row r="71" spans="2:28" s="439" customFormat="1" ht="10.5">
      <c r="B71" s="424"/>
      <c r="C71" s="424"/>
      <c r="D71" s="424"/>
      <c r="E71" s="424"/>
      <c r="F71" s="424"/>
      <c r="G71" s="424"/>
      <c r="H71" s="475"/>
      <c r="I71" s="475"/>
      <c r="J71" s="475"/>
      <c r="K71" s="475"/>
      <c r="L71" s="475"/>
      <c r="M71" s="475"/>
      <c r="N71" s="476"/>
      <c r="O71" s="476"/>
      <c r="P71" s="476"/>
      <c r="Q71" s="476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5"/>
    </row>
    <row r="72" spans="2:28" s="439" customFormat="1" ht="10.5">
      <c r="B72" s="424"/>
      <c r="C72" s="424"/>
      <c r="D72" s="424"/>
      <c r="E72" s="424"/>
      <c r="F72" s="424"/>
      <c r="G72" s="424"/>
      <c r="H72" s="475"/>
      <c r="I72" s="475"/>
      <c r="J72" s="475"/>
      <c r="K72" s="475"/>
      <c r="L72" s="475"/>
      <c r="M72" s="475"/>
      <c r="N72" s="476"/>
      <c r="O72" s="476"/>
      <c r="P72" s="476"/>
      <c r="Q72" s="476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</row>
    <row r="73" spans="2:28" s="439" customFormat="1" ht="10.5">
      <c r="B73" s="424"/>
      <c r="C73" s="424"/>
      <c r="D73" s="424"/>
      <c r="E73" s="424"/>
      <c r="F73" s="424"/>
      <c r="G73" s="424"/>
      <c r="H73" s="475"/>
      <c r="I73" s="475"/>
      <c r="J73" s="475"/>
      <c r="K73" s="475"/>
      <c r="L73" s="475"/>
      <c r="M73" s="475"/>
      <c r="N73" s="476"/>
      <c r="O73" s="476"/>
      <c r="P73" s="476"/>
      <c r="Q73" s="476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</row>
    <row r="74" spans="2:28" s="439" customFormat="1" ht="10.5">
      <c r="B74" s="424"/>
      <c r="C74" s="424"/>
      <c r="D74" s="424"/>
      <c r="E74" s="424"/>
      <c r="F74" s="424"/>
      <c r="G74" s="424"/>
      <c r="H74" s="475"/>
      <c r="I74" s="475"/>
      <c r="J74" s="475"/>
      <c r="K74" s="475"/>
      <c r="L74" s="475"/>
      <c r="M74" s="475"/>
      <c r="N74" s="476"/>
      <c r="O74" s="476"/>
      <c r="P74" s="476"/>
      <c r="Q74" s="476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</row>
    <row r="75" spans="2:28" s="439" customFormat="1" ht="10.5">
      <c r="B75" s="424"/>
      <c r="C75" s="424"/>
      <c r="D75" s="424"/>
      <c r="E75" s="424"/>
      <c r="F75" s="424"/>
      <c r="G75" s="424"/>
      <c r="H75" s="475"/>
      <c r="I75" s="475"/>
      <c r="J75" s="475"/>
      <c r="K75" s="475"/>
      <c r="L75" s="475"/>
      <c r="M75" s="475"/>
      <c r="N75" s="476"/>
      <c r="O75" s="476"/>
      <c r="P75" s="476"/>
      <c r="Q75" s="476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</row>
    <row r="76" spans="2:28" s="439" customFormat="1" ht="10.5">
      <c r="B76" s="424"/>
      <c r="C76" s="424"/>
      <c r="D76" s="424"/>
      <c r="E76" s="424"/>
      <c r="F76" s="424"/>
      <c r="G76" s="424"/>
      <c r="H76" s="475"/>
      <c r="I76" s="475"/>
      <c r="J76" s="475"/>
      <c r="K76" s="475"/>
      <c r="L76" s="475"/>
      <c r="M76" s="475"/>
      <c r="N76" s="476"/>
      <c r="O76" s="476"/>
      <c r="P76" s="476"/>
      <c r="Q76" s="476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</row>
    <row r="77" spans="2:28" s="439" customFormat="1" ht="10.5">
      <c r="B77" s="424"/>
      <c r="C77" s="424"/>
      <c r="D77" s="424"/>
      <c r="E77" s="424"/>
      <c r="F77" s="424"/>
      <c r="G77" s="424"/>
      <c r="H77" s="475"/>
      <c r="I77" s="475"/>
      <c r="J77" s="475"/>
      <c r="K77" s="475"/>
      <c r="L77" s="475"/>
      <c r="M77" s="475"/>
      <c r="N77" s="476"/>
      <c r="O77" s="476"/>
      <c r="P77" s="476"/>
      <c r="Q77" s="476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</row>
    <row r="78" spans="2:28" s="439" customFormat="1" ht="10.5">
      <c r="B78" s="424"/>
      <c r="C78" s="424"/>
      <c r="D78" s="424"/>
      <c r="E78" s="424"/>
      <c r="F78" s="424"/>
      <c r="G78" s="424"/>
      <c r="H78" s="475"/>
      <c r="I78" s="475"/>
      <c r="J78" s="475"/>
      <c r="K78" s="475"/>
      <c r="L78" s="475"/>
      <c r="M78" s="475"/>
      <c r="N78" s="476"/>
      <c r="O78" s="476"/>
      <c r="P78" s="476"/>
      <c r="Q78" s="476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</row>
    <row r="79" spans="2:28" s="439" customFormat="1" ht="10.5">
      <c r="B79" s="424"/>
      <c r="C79" s="424"/>
      <c r="D79" s="424"/>
      <c r="E79" s="424"/>
      <c r="F79" s="424"/>
      <c r="G79" s="424"/>
      <c r="H79" s="475"/>
      <c r="I79" s="475"/>
      <c r="J79" s="475"/>
      <c r="K79" s="475"/>
      <c r="L79" s="475"/>
      <c r="M79" s="475"/>
      <c r="N79" s="476"/>
      <c r="O79" s="476"/>
      <c r="P79" s="476"/>
      <c r="Q79" s="476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</row>
    <row r="80" spans="2:28" s="439" customFormat="1" ht="10.5">
      <c r="B80" s="424"/>
      <c r="C80" s="424"/>
      <c r="D80" s="424"/>
      <c r="E80" s="424"/>
      <c r="F80" s="424"/>
      <c r="G80" s="424"/>
      <c r="H80" s="475"/>
      <c r="I80" s="475"/>
      <c r="J80" s="475"/>
      <c r="K80" s="475"/>
      <c r="L80" s="475"/>
      <c r="M80" s="475"/>
      <c r="N80" s="476"/>
      <c r="O80" s="476"/>
      <c r="P80" s="476"/>
      <c r="Q80" s="476"/>
      <c r="R80" s="455"/>
      <c r="S80" s="455"/>
      <c r="T80" s="455"/>
      <c r="U80" s="455"/>
      <c r="V80" s="455"/>
      <c r="W80" s="455"/>
      <c r="X80" s="455"/>
      <c r="Y80" s="455"/>
      <c r="Z80" s="455"/>
      <c r="AA80" s="455"/>
      <c r="AB80" s="455"/>
    </row>
    <row r="81" spans="2:28" s="439" customFormat="1" ht="10.5">
      <c r="B81" s="424"/>
      <c r="C81" s="424"/>
      <c r="D81" s="424"/>
      <c r="E81" s="424"/>
      <c r="F81" s="424"/>
      <c r="G81" s="424"/>
      <c r="H81" s="475"/>
      <c r="I81" s="475"/>
      <c r="J81" s="475"/>
      <c r="K81" s="475"/>
      <c r="L81" s="475"/>
      <c r="M81" s="475"/>
      <c r="N81" s="476"/>
      <c r="O81" s="476"/>
      <c r="P81" s="476"/>
      <c r="Q81" s="476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</row>
    <row r="82" spans="2:28" s="439" customFormat="1" ht="10.5">
      <c r="B82" s="424"/>
      <c r="C82" s="424"/>
      <c r="D82" s="424"/>
      <c r="E82" s="424"/>
      <c r="F82" s="424"/>
      <c r="G82" s="424"/>
      <c r="H82" s="475"/>
      <c r="I82" s="475"/>
      <c r="J82" s="475"/>
      <c r="K82" s="475"/>
      <c r="L82" s="475"/>
      <c r="M82" s="475"/>
      <c r="N82" s="476"/>
      <c r="O82" s="476"/>
      <c r="P82" s="476"/>
      <c r="Q82" s="476"/>
      <c r="R82" s="455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</row>
    <row r="83" spans="2:28" s="439" customFormat="1" ht="10.5">
      <c r="B83" s="424"/>
      <c r="C83" s="424"/>
      <c r="D83" s="424"/>
      <c r="E83" s="424"/>
      <c r="F83" s="424"/>
      <c r="G83" s="424"/>
      <c r="H83" s="475"/>
      <c r="I83" s="475"/>
      <c r="J83" s="475"/>
      <c r="K83" s="475"/>
      <c r="L83" s="475"/>
      <c r="M83" s="475"/>
      <c r="N83" s="476"/>
      <c r="O83" s="476"/>
      <c r="P83" s="476"/>
      <c r="Q83" s="476"/>
      <c r="R83" s="455"/>
      <c r="S83" s="455"/>
      <c r="T83" s="455"/>
      <c r="U83" s="455"/>
      <c r="V83" s="455"/>
      <c r="W83" s="455"/>
      <c r="X83" s="455"/>
      <c r="Y83" s="455"/>
      <c r="Z83" s="455"/>
      <c r="AA83" s="455"/>
      <c r="AB83" s="455"/>
    </row>
    <row r="84" spans="2:28" s="439" customFormat="1" ht="10.5">
      <c r="B84" s="424"/>
      <c r="C84" s="424"/>
      <c r="D84" s="424"/>
      <c r="E84" s="424"/>
      <c r="F84" s="424"/>
      <c r="G84" s="424"/>
      <c r="H84" s="475"/>
      <c r="I84" s="475"/>
      <c r="J84" s="475"/>
      <c r="K84" s="475"/>
      <c r="L84" s="475"/>
      <c r="M84" s="475"/>
      <c r="N84" s="476"/>
      <c r="O84" s="476"/>
      <c r="P84" s="476"/>
      <c r="Q84" s="476"/>
      <c r="R84" s="455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</row>
    <row r="85" spans="2:28" s="439" customFormat="1" ht="10.5">
      <c r="B85" s="424"/>
      <c r="C85" s="424"/>
      <c r="D85" s="424"/>
      <c r="E85" s="424"/>
      <c r="F85" s="424"/>
      <c r="G85" s="424"/>
      <c r="H85" s="475"/>
      <c r="I85" s="475"/>
      <c r="J85" s="475"/>
      <c r="K85" s="475"/>
      <c r="L85" s="475"/>
      <c r="M85" s="475"/>
      <c r="N85" s="476"/>
      <c r="O85" s="476"/>
      <c r="P85" s="476"/>
      <c r="Q85" s="476"/>
      <c r="R85" s="455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</row>
    <row r="86" spans="2:28" s="439" customFormat="1" ht="10.5">
      <c r="B86" s="424"/>
      <c r="C86" s="424"/>
      <c r="D86" s="424"/>
      <c r="E86" s="424"/>
      <c r="F86" s="424"/>
      <c r="G86" s="424"/>
      <c r="H86" s="475"/>
      <c r="I86" s="475"/>
      <c r="J86" s="475"/>
      <c r="K86" s="475"/>
      <c r="L86" s="475"/>
      <c r="M86" s="475"/>
      <c r="N86" s="476"/>
      <c r="O86" s="476"/>
      <c r="P86" s="476"/>
      <c r="Q86" s="476"/>
      <c r="R86" s="455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</row>
    <row r="87" spans="2:28" s="439" customFormat="1" ht="10.5">
      <c r="B87" s="424"/>
      <c r="C87" s="424"/>
      <c r="D87" s="424"/>
      <c r="E87" s="424"/>
      <c r="F87" s="424"/>
      <c r="G87" s="424"/>
      <c r="H87" s="475"/>
      <c r="I87" s="475"/>
      <c r="J87" s="475"/>
      <c r="K87" s="475"/>
      <c r="L87" s="475"/>
      <c r="M87" s="475"/>
      <c r="N87" s="476"/>
      <c r="O87" s="476"/>
      <c r="P87" s="476"/>
      <c r="Q87" s="476"/>
      <c r="R87" s="455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</row>
    <row r="88" spans="2:28" s="439" customFormat="1" ht="10.5">
      <c r="B88" s="424"/>
      <c r="C88" s="424"/>
      <c r="D88" s="424"/>
      <c r="E88" s="424"/>
      <c r="F88" s="424"/>
      <c r="G88" s="424"/>
      <c r="H88" s="475"/>
      <c r="I88" s="475"/>
      <c r="J88" s="475"/>
      <c r="K88" s="475"/>
      <c r="L88" s="475"/>
      <c r="M88" s="475"/>
      <c r="N88" s="476"/>
      <c r="O88" s="476"/>
      <c r="P88" s="476"/>
      <c r="Q88" s="476"/>
      <c r="R88" s="455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</row>
    <row r="89" spans="2:28" s="439" customFormat="1" ht="10.5">
      <c r="B89" s="424"/>
      <c r="C89" s="424"/>
      <c r="D89" s="424"/>
      <c r="E89" s="424"/>
      <c r="F89" s="424"/>
      <c r="G89" s="424"/>
      <c r="H89" s="475"/>
      <c r="I89" s="475"/>
      <c r="J89" s="475"/>
      <c r="K89" s="475"/>
      <c r="L89" s="475"/>
      <c r="M89" s="475"/>
      <c r="N89" s="476"/>
      <c r="O89" s="476"/>
      <c r="P89" s="476"/>
      <c r="Q89" s="476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</row>
    <row r="90" spans="2:28" s="439" customFormat="1" ht="10.5">
      <c r="B90" s="424"/>
      <c r="C90" s="424"/>
      <c r="D90" s="424"/>
      <c r="E90" s="424"/>
      <c r="F90" s="424"/>
      <c r="G90" s="424"/>
      <c r="H90" s="475"/>
      <c r="I90" s="475"/>
      <c r="J90" s="475"/>
      <c r="K90" s="475"/>
      <c r="L90" s="475"/>
      <c r="M90" s="475"/>
      <c r="N90" s="476"/>
      <c r="O90" s="476"/>
      <c r="P90" s="476"/>
      <c r="Q90" s="476"/>
      <c r="R90" s="455"/>
      <c r="S90" s="455"/>
      <c r="T90" s="455"/>
      <c r="U90" s="455"/>
      <c r="V90" s="455"/>
      <c r="W90" s="455"/>
      <c r="X90" s="455"/>
      <c r="Y90" s="455"/>
      <c r="Z90" s="455"/>
      <c r="AA90" s="455"/>
      <c r="AB90" s="455"/>
    </row>
    <row r="91" spans="2:28" s="439" customFormat="1" ht="10.5">
      <c r="B91" s="424"/>
      <c r="C91" s="424"/>
      <c r="D91" s="424"/>
      <c r="E91" s="424"/>
      <c r="F91" s="424"/>
      <c r="G91" s="424"/>
      <c r="H91" s="475"/>
      <c r="I91" s="475"/>
      <c r="J91" s="475"/>
      <c r="K91" s="475"/>
      <c r="L91" s="475"/>
      <c r="M91" s="475"/>
      <c r="N91" s="476"/>
      <c r="O91" s="476"/>
      <c r="P91" s="476"/>
      <c r="Q91" s="476"/>
      <c r="R91" s="455"/>
      <c r="S91" s="455"/>
      <c r="T91" s="455"/>
      <c r="U91" s="455"/>
      <c r="V91" s="455"/>
      <c r="W91" s="455"/>
      <c r="X91" s="455"/>
      <c r="Y91" s="455"/>
      <c r="Z91" s="455"/>
      <c r="AA91" s="455"/>
      <c r="AB91" s="455"/>
    </row>
    <row r="92" spans="2:28" s="439" customFormat="1" ht="10.5">
      <c r="B92" s="424"/>
      <c r="C92" s="424"/>
      <c r="D92" s="424"/>
      <c r="E92" s="424"/>
      <c r="F92" s="424"/>
      <c r="G92" s="424"/>
      <c r="H92" s="475"/>
      <c r="I92" s="475"/>
      <c r="J92" s="475"/>
      <c r="K92" s="475"/>
      <c r="L92" s="475"/>
      <c r="M92" s="475"/>
      <c r="N92" s="476"/>
      <c r="O92" s="476"/>
      <c r="P92" s="476"/>
      <c r="Q92" s="476"/>
      <c r="R92" s="455"/>
      <c r="S92" s="455"/>
      <c r="T92" s="455"/>
      <c r="U92" s="455"/>
      <c r="V92" s="455"/>
      <c r="W92" s="455"/>
      <c r="X92" s="455"/>
      <c r="Y92" s="455"/>
      <c r="Z92" s="455"/>
      <c r="AA92" s="455"/>
      <c r="AB92" s="455"/>
    </row>
    <row r="93" spans="2:28" s="439" customFormat="1" ht="10.5">
      <c r="B93" s="424"/>
      <c r="C93" s="424"/>
      <c r="D93" s="424"/>
      <c r="E93" s="424"/>
      <c r="F93" s="424"/>
      <c r="G93" s="424"/>
      <c r="H93" s="475"/>
      <c r="I93" s="475"/>
      <c r="J93" s="475"/>
      <c r="K93" s="475"/>
      <c r="L93" s="475"/>
      <c r="M93" s="475"/>
      <c r="N93" s="476"/>
      <c r="O93" s="476"/>
      <c r="P93" s="476"/>
      <c r="Q93" s="476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</row>
    <row r="94" spans="2:28" s="439" customFormat="1" ht="10.5">
      <c r="B94" s="424"/>
      <c r="C94" s="424"/>
      <c r="D94" s="424"/>
      <c r="E94" s="424"/>
      <c r="F94" s="424"/>
      <c r="G94" s="424"/>
      <c r="H94" s="475"/>
      <c r="I94" s="475"/>
      <c r="J94" s="475"/>
      <c r="K94" s="475"/>
      <c r="L94" s="475"/>
      <c r="M94" s="475"/>
      <c r="N94" s="476"/>
      <c r="O94" s="476"/>
      <c r="P94" s="476"/>
      <c r="Q94" s="476"/>
      <c r="R94" s="455"/>
      <c r="S94" s="455"/>
      <c r="T94" s="455"/>
      <c r="U94" s="455"/>
      <c r="V94" s="455"/>
      <c r="W94" s="455"/>
      <c r="X94" s="455"/>
      <c r="Y94" s="455"/>
      <c r="Z94" s="455"/>
      <c r="AA94" s="455"/>
      <c r="AB94" s="455"/>
    </row>
    <row r="95" spans="2:28" s="439" customFormat="1" ht="10.5">
      <c r="B95" s="424"/>
      <c r="C95" s="424"/>
      <c r="D95" s="424"/>
      <c r="E95" s="424"/>
      <c r="F95" s="424"/>
      <c r="G95" s="424"/>
      <c r="H95" s="475"/>
      <c r="I95" s="475"/>
      <c r="J95" s="475"/>
      <c r="K95" s="475"/>
      <c r="L95" s="475"/>
      <c r="M95" s="475"/>
      <c r="N95" s="476"/>
      <c r="O95" s="476"/>
      <c r="P95" s="476"/>
      <c r="Q95" s="476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5"/>
    </row>
    <row r="96" spans="2:28" s="439" customFormat="1" ht="10.5">
      <c r="B96" s="424"/>
      <c r="C96" s="424"/>
      <c r="D96" s="424"/>
      <c r="E96" s="424"/>
      <c r="F96" s="424"/>
      <c r="G96" s="424"/>
      <c r="H96" s="475"/>
      <c r="I96" s="475"/>
      <c r="J96" s="475"/>
      <c r="K96" s="475"/>
      <c r="L96" s="475"/>
      <c r="M96" s="475"/>
      <c r="N96" s="476"/>
      <c r="O96" s="476"/>
      <c r="P96" s="476"/>
      <c r="Q96" s="476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</row>
    <row r="97" spans="2:28" s="439" customFormat="1" ht="10.5">
      <c r="B97" s="424"/>
      <c r="C97" s="424"/>
      <c r="D97" s="424"/>
      <c r="E97" s="424"/>
      <c r="F97" s="424"/>
      <c r="G97" s="424"/>
      <c r="H97" s="475"/>
      <c r="I97" s="475"/>
      <c r="J97" s="475"/>
      <c r="K97" s="475"/>
      <c r="L97" s="475"/>
      <c r="M97" s="475"/>
      <c r="N97" s="476"/>
      <c r="O97" s="476"/>
      <c r="P97" s="476"/>
      <c r="Q97" s="476"/>
      <c r="R97" s="455"/>
      <c r="S97" s="455"/>
      <c r="T97" s="455"/>
      <c r="U97" s="455"/>
      <c r="V97" s="455"/>
      <c r="W97" s="455"/>
      <c r="X97" s="455"/>
      <c r="Y97" s="455"/>
      <c r="Z97" s="455"/>
      <c r="AA97" s="455"/>
      <c r="AB97" s="455"/>
    </row>
    <row r="98" spans="2:28" s="439" customFormat="1" ht="10.5">
      <c r="B98" s="424"/>
      <c r="C98" s="424"/>
      <c r="D98" s="424"/>
      <c r="E98" s="424"/>
      <c r="F98" s="424"/>
      <c r="G98" s="424"/>
      <c r="H98" s="475"/>
      <c r="I98" s="475"/>
      <c r="J98" s="475"/>
      <c r="K98" s="475"/>
      <c r="L98" s="475"/>
      <c r="M98" s="475"/>
      <c r="N98" s="476"/>
      <c r="O98" s="476"/>
      <c r="P98" s="476"/>
      <c r="Q98" s="476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</row>
    <row r="99" spans="2:28" s="439" customFormat="1" ht="10.5">
      <c r="B99" s="424"/>
      <c r="C99" s="424"/>
      <c r="D99" s="424"/>
      <c r="E99" s="424"/>
      <c r="F99" s="424"/>
      <c r="G99" s="424"/>
      <c r="H99" s="475"/>
      <c r="I99" s="475"/>
      <c r="J99" s="475"/>
      <c r="K99" s="475"/>
      <c r="L99" s="475"/>
      <c r="M99" s="475"/>
      <c r="N99" s="476"/>
      <c r="O99" s="476"/>
      <c r="P99" s="476"/>
      <c r="Q99" s="476"/>
      <c r="R99" s="455"/>
      <c r="S99" s="455"/>
      <c r="T99" s="455"/>
      <c r="U99" s="455"/>
      <c r="V99" s="455"/>
      <c r="W99" s="455"/>
      <c r="X99" s="455"/>
      <c r="Y99" s="455"/>
      <c r="Z99" s="455"/>
      <c r="AA99" s="455"/>
      <c r="AB99" s="455"/>
    </row>
    <row r="100" spans="2:28" s="439" customFormat="1" ht="10.5">
      <c r="B100" s="424"/>
      <c r="C100" s="424"/>
      <c r="D100" s="424"/>
      <c r="E100" s="424"/>
      <c r="F100" s="424"/>
      <c r="G100" s="424"/>
      <c r="H100" s="475"/>
      <c r="I100" s="475"/>
      <c r="J100" s="475"/>
      <c r="K100" s="475"/>
      <c r="L100" s="475"/>
      <c r="M100" s="475"/>
      <c r="N100" s="476"/>
      <c r="O100" s="476"/>
      <c r="P100" s="476"/>
      <c r="Q100" s="476"/>
      <c r="R100" s="455"/>
      <c r="S100" s="455"/>
      <c r="T100" s="455"/>
      <c r="U100" s="455"/>
      <c r="V100" s="455"/>
      <c r="W100" s="455"/>
      <c r="X100" s="455"/>
      <c r="Y100" s="455"/>
      <c r="Z100" s="455"/>
      <c r="AA100" s="455"/>
      <c r="AB100" s="455"/>
    </row>
    <row r="101" spans="2:28" s="439" customFormat="1" ht="10.5">
      <c r="B101" s="424"/>
      <c r="C101" s="424"/>
      <c r="D101" s="424"/>
      <c r="E101" s="424"/>
      <c r="F101" s="424"/>
      <c r="G101" s="424"/>
      <c r="H101" s="475"/>
      <c r="I101" s="475"/>
      <c r="J101" s="475"/>
      <c r="K101" s="475"/>
      <c r="L101" s="475"/>
      <c r="M101" s="475"/>
      <c r="N101" s="476"/>
      <c r="O101" s="476"/>
      <c r="P101" s="476"/>
      <c r="Q101" s="476"/>
      <c r="R101" s="455"/>
      <c r="S101" s="455"/>
      <c r="T101" s="455"/>
      <c r="U101" s="455"/>
      <c r="V101" s="455"/>
      <c r="W101" s="455"/>
      <c r="X101" s="455"/>
      <c r="Y101" s="455"/>
      <c r="Z101" s="455"/>
      <c r="AA101" s="455"/>
      <c r="AB101" s="455"/>
    </row>
    <row r="102" spans="2:28" s="439" customFormat="1" ht="10.5">
      <c r="B102" s="424"/>
      <c r="C102" s="424"/>
      <c r="D102" s="424"/>
      <c r="E102" s="424"/>
      <c r="F102" s="424"/>
      <c r="G102" s="424"/>
      <c r="H102" s="475"/>
      <c r="I102" s="475"/>
      <c r="J102" s="475"/>
      <c r="K102" s="475"/>
      <c r="L102" s="475"/>
      <c r="M102" s="475"/>
      <c r="N102" s="476"/>
      <c r="O102" s="476"/>
      <c r="P102" s="476"/>
      <c r="Q102" s="476"/>
      <c r="R102" s="455"/>
      <c r="S102" s="455"/>
      <c r="T102" s="455"/>
      <c r="U102" s="455"/>
      <c r="V102" s="455"/>
      <c r="W102" s="455"/>
      <c r="X102" s="455"/>
      <c r="Y102" s="455"/>
      <c r="Z102" s="455"/>
      <c r="AA102" s="455"/>
      <c r="AB102" s="455"/>
    </row>
    <row r="103" spans="2:28" s="439" customFormat="1" ht="10.5">
      <c r="B103" s="424"/>
      <c r="C103" s="424"/>
      <c r="D103" s="424"/>
      <c r="E103" s="424"/>
      <c r="F103" s="424"/>
      <c r="G103" s="424"/>
      <c r="H103" s="475"/>
      <c r="I103" s="475"/>
      <c r="J103" s="475"/>
      <c r="K103" s="475"/>
      <c r="L103" s="475"/>
      <c r="M103" s="475"/>
      <c r="N103" s="476"/>
      <c r="O103" s="476"/>
      <c r="P103" s="476"/>
      <c r="Q103" s="476"/>
      <c r="R103" s="455"/>
      <c r="S103" s="455"/>
      <c r="T103" s="455"/>
      <c r="U103" s="455"/>
      <c r="V103" s="455"/>
      <c r="W103" s="455"/>
      <c r="X103" s="455"/>
      <c r="Y103" s="455"/>
      <c r="Z103" s="455"/>
      <c r="AA103" s="455"/>
      <c r="AB103" s="455"/>
    </row>
    <row r="104" spans="2:28" s="439" customFormat="1" ht="10.5">
      <c r="B104" s="424"/>
      <c r="C104" s="424"/>
      <c r="D104" s="424"/>
      <c r="E104" s="424"/>
      <c r="F104" s="424"/>
      <c r="G104" s="424"/>
      <c r="H104" s="475"/>
      <c r="I104" s="475"/>
      <c r="J104" s="475"/>
      <c r="K104" s="475"/>
      <c r="L104" s="475"/>
      <c r="M104" s="475"/>
      <c r="N104" s="476"/>
      <c r="O104" s="476"/>
      <c r="P104" s="476"/>
      <c r="Q104" s="476"/>
      <c r="R104" s="455"/>
      <c r="S104" s="455"/>
      <c r="T104" s="455"/>
      <c r="U104" s="455"/>
      <c r="V104" s="455"/>
      <c r="W104" s="455"/>
      <c r="X104" s="455"/>
      <c r="Y104" s="455"/>
      <c r="Z104" s="455"/>
      <c r="AA104" s="455"/>
      <c r="AB104" s="455"/>
    </row>
    <row r="105" spans="2:28" s="439" customFormat="1" ht="10.5">
      <c r="B105" s="424"/>
      <c r="C105" s="424"/>
      <c r="D105" s="424"/>
      <c r="E105" s="424"/>
      <c r="F105" s="424"/>
      <c r="G105" s="424"/>
      <c r="H105" s="475"/>
      <c r="I105" s="475"/>
      <c r="J105" s="475"/>
      <c r="K105" s="475"/>
      <c r="L105" s="475"/>
      <c r="M105" s="475"/>
      <c r="N105" s="476"/>
      <c r="O105" s="476"/>
      <c r="P105" s="476"/>
      <c r="Q105" s="476"/>
      <c r="R105" s="455"/>
      <c r="S105" s="455"/>
      <c r="T105" s="455"/>
      <c r="U105" s="455"/>
      <c r="V105" s="455"/>
      <c r="W105" s="455"/>
      <c r="X105" s="455"/>
      <c r="Y105" s="455"/>
      <c r="Z105" s="455"/>
      <c r="AA105" s="455"/>
      <c r="AB105" s="455"/>
    </row>
    <row r="106" spans="2:28" s="439" customFormat="1" ht="10.5">
      <c r="B106" s="424"/>
      <c r="C106" s="424"/>
      <c r="D106" s="424"/>
      <c r="E106" s="424"/>
      <c r="F106" s="424"/>
      <c r="G106" s="424"/>
      <c r="H106" s="475"/>
      <c r="I106" s="475"/>
      <c r="J106" s="475"/>
      <c r="K106" s="475"/>
      <c r="L106" s="475"/>
      <c r="M106" s="475"/>
      <c r="N106" s="476"/>
      <c r="O106" s="476"/>
      <c r="P106" s="476"/>
      <c r="Q106" s="476"/>
      <c r="R106" s="455"/>
      <c r="S106" s="455"/>
      <c r="T106" s="455"/>
      <c r="U106" s="455"/>
      <c r="V106" s="455"/>
      <c r="W106" s="455"/>
      <c r="X106" s="455"/>
      <c r="Y106" s="455"/>
      <c r="Z106" s="455"/>
      <c r="AA106" s="455"/>
      <c r="AB106" s="455"/>
    </row>
    <row r="107" spans="2:28" s="439" customFormat="1" ht="10.5">
      <c r="B107" s="424"/>
      <c r="C107" s="424"/>
      <c r="D107" s="424"/>
      <c r="E107" s="424"/>
      <c r="F107" s="424"/>
      <c r="G107" s="424"/>
      <c r="H107" s="475"/>
      <c r="I107" s="475"/>
      <c r="J107" s="475"/>
      <c r="K107" s="475"/>
      <c r="L107" s="475"/>
      <c r="M107" s="475"/>
      <c r="N107" s="476"/>
      <c r="O107" s="476"/>
      <c r="P107" s="476"/>
      <c r="Q107" s="476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  <c r="AB107" s="455"/>
    </row>
    <row r="108" spans="2:28" s="439" customFormat="1" ht="10.5">
      <c r="B108" s="424"/>
      <c r="C108" s="424"/>
      <c r="D108" s="424"/>
      <c r="E108" s="424"/>
      <c r="F108" s="424"/>
      <c r="G108" s="424"/>
      <c r="H108" s="475"/>
      <c r="I108" s="475"/>
      <c r="J108" s="475"/>
      <c r="K108" s="475"/>
      <c r="L108" s="475"/>
      <c r="M108" s="475"/>
      <c r="N108" s="476"/>
      <c r="O108" s="476"/>
      <c r="P108" s="476"/>
      <c r="Q108" s="476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5"/>
    </row>
    <row r="109" spans="2:28" s="439" customFormat="1" ht="10.5">
      <c r="B109" s="424"/>
      <c r="C109" s="424"/>
      <c r="D109" s="424"/>
      <c r="E109" s="424"/>
      <c r="F109" s="424"/>
      <c r="G109" s="424"/>
      <c r="H109" s="475"/>
      <c r="I109" s="475"/>
      <c r="J109" s="475"/>
      <c r="K109" s="475"/>
      <c r="L109" s="475"/>
      <c r="M109" s="475"/>
      <c r="N109" s="476"/>
      <c r="O109" s="476"/>
      <c r="P109" s="476"/>
      <c r="Q109" s="476"/>
      <c r="R109" s="455"/>
      <c r="S109" s="455"/>
      <c r="T109" s="455"/>
      <c r="U109" s="455"/>
      <c r="V109" s="455"/>
      <c r="W109" s="455"/>
      <c r="X109" s="455"/>
      <c r="Y109" s="455"/>
      <c r="Z109" s="455"/>
      <c r="AA109" s="455"/>
      <c r="AB109" s="455"/>
    </row>
    <row r="110" spans="2:28" s="439" customFormat="1" ht="10.5">
      <c r="B110" s="424"/>
      <c r="C110" s="424"/>
      <c r="D110" s="424"/>
      <c r="E110" s="424"/>
      <c r="F110" s="424"/>
      <c r="G110" s="424"/>
      <c r="H110" s="475"/>
      <c r="I110" s="475"/>
      <c r="J110" s="475"/>
      <c r="K110" s="475"/>
      <c r="L110" s="475"/>
      <c r="M110" s="475"/>
      <c r="N110" s="476"/>
      <c r="O110" s="476"/>
      <c r="P110" s="476"/>
      <c r="Q110" s="476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</row>
    <row r="111" spans="2:28" s="439" customFormat="1" ht="10.5">
      <c r="B111" s="424"/>
      <c r="C111" s="424"/>
      <c r="D111" s="424"/>
      <c r="E111" s="424"/>
      <c r="F111" s="424"/>
      <c r="G111" s="424"/>
      <c r="H111" s="475"/>
      <c r="I111" s="475"/>
      <c r="J111" s="475"/>
      <c r="K111" s="475"/>
      <c r="L111" s="475"/>
      <c r="M111" s="475"/>
      <c r="N111" s="476"/>
      <c r="O111" s="476"/>
      <c r="P111" s="476"/>
      <c r="Q111" s="476"/>
      <c r="R111" s="455"/>
      <c r="S111" s="455"/>
      <c r="T111" s="455"/>
      <c r="U111" s="455"/>
      <c r="V111" s="455"/>
      <c r="W111" s="455"/>
      <c r="X111" s="455"/>
      <c r="Y111" s="455"/>
      <c r="Z111" s="455"/>
      <c r="AA111" s="455"/>
      <c r="AB111" s="455"/>
    </row>
    <row r="112" spans="2:28" s="439" customFormat="1" ht="10.5">
      <c r="B112" s="424"/>
      <c r="C112" s="424"/>
      <c r="D112" s="424"/>
      <c r="E112" s="424"/>
      <c r="F112" s="424"/>
      <c r="G112" s="424"/>
      <c r="H112" s="475"/>
      <c r="I112" s="475"/>
      <c r="J112" s="475"/>
      <c r="K112" s="475"/>
      <c r="L112" s="475"/>
      <c r="M112" s="475"/>
      <c r="N112" s="476"/>
      <c r="O112" s="476"/>
      <c r="P112" s="476"/>
      <c r="Q112" s="476"/>
      <c r="R112" s="455"/>
      <c r="S112" s="455"/>
      <c r="T112" s="455"/>
      <c r="U112" s="455"/>
      <c r="V112" s="455"/>
      <c r="W112" s="455"/>
      <c r="X112" s="455"/>
      <c r="Y112" s="455"/>
      <c r="Z112" s="455"/>
      <c r="AA112" s="455"/>
      <c r="AB112" s="455"/>
    </row>
    <row r="113" spans="2:28" s="439" customFormat="1" ht="10.5">
      <c r="B113" s="424"/>
      <c r="C113" s="424"/>
      <c r="D113" s="424"/>
      <c r="E113" s="424"/>
      <c r="F113" s="424"/>
      <c r="G113" s="424"/>
      <c r="H113" s="475"/>
      <c r="I113" s="475"/>
      <c r="J113" s="475"/>
      <c r="K113" s="475"/>
      <c r="L113" s="475"/>
      <c r="M113" s="475"/>
      <c r="N113" s="476"/>
      <c r="O113" s="476"/>
      <c r="P113" s="476"/>
      <c r="Q113" s="476"/>
      <c r="R113" s="45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455"/>
    </row>
    <row r="114" spans="2:28" s="439" customFormat="1" ht="10.5">
      <c r="B114" s="424"/>
      <c r="C114" s="424"/>
      <c r="D114" s="424"/>
      <c r="E114" s="424"/>
      <c r="F114" s="424"/>
      <c r="G114" s="424"/>
      <c r="H114" s="475"/>
      <c r="I114" s="475"/>
      <c r="J114" s="475"/>
      <c r="K114" s="475"/>
      <c r="L114" s="475"/>
      <c r="M114" s="475"/>
      <c r="N114" s="476"/>
      <c r="O114" s="476"/>
      <c r="P114" s="476"/>
      <c r="Q114" s="476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</row>
    <row r="115" spans="2:28" s="439" customFormat="1" ht="10.5">
      <c r="B115" s="424"/>
      <c r="C115" s="424"/>
      <c r="D115" s="424"/>
      <c r="E115" s="424"/>
      <c r="F115" s="424"/>
      <c r="G115" s="424"/>
      <c r="H115" s="475"/>
      <c r="I115" s="475"/>
      <c r="J115" s="475"/>
      <c r="K115" s="475"/>
      <c r="L115" s="475"/>
      <c r="M115" s="475"/>
      <c r="N115" s="476"/>
      <c r="O115" s="476"/>
      <c r="P115" s="476"/>
      <c r="Q115" s="476"/>
      <c r="R115" s="455"/>
      <c r="S115" s="455"/>
      <c r="T115" s="455"/>
      <c r="U115" s="455"/>
      <c r="V115" s="455"/>
      <c r="W115" s="455"/>
      <c r="X115" s="455"/>
      <c r="Y115" s="455"/>
      <c r="Z115" s="455"/>
      <c r="AA115" s="455"/>
      <c r="AB115" s="455"/>
    </row>
    <row r="116" spans="2:28" s="439" customFormat="1" ht="10.5">
      <c r="B116" s="424"/>
      <c r="C116" s="424"/>
      <c r="D116" s="424"/>
      <c r="E116" s="424"/>
      <c r="F116" s="424"/>
      <c r="G116" s="424"/>
      <c r="H116" s="475"/>
      <c r="I116" s="475"/>
      <c r="J116" s="475"/>
      <c r="K116" s="475"/>
      <c r="L116" s="475"/>
      <c r="M116" s="475"/>
      <c r="N116" s="476"/>
      <c r="O116" s="476"/>
      <c r="P116" s="476"/>
      <c r="Q116" s="476"/>
      <c r="R116" s="455"/>
      <c r="S116" s="455"/>
      <c r="T116" s="455"/>
      <c r="U116" s="455"/>
      <c r="V116" s="455"/>
      <c r="W116" s="455"/>
      <c r="X116" s="455"/>
      <c r="Y116" s="455"/>
      <c r="Z116" s="455"/>
      <c r="AA116" s="455"/>
      <c r="AB116" s="455"/>
    </row>
    <row r="117" spans="2:28" s="439" customFormat="1" ht="10.5">
      <c r="B117" s="424"/>
      <c r="C117" s="424"/>
      <c r="D117" s="424"/>
      <c r="E117" s="424"/>
      <c r="F117" s="424"/>
      <c r="G117" s="424"/>
      <c r="H117" s="475"/>
      <c r="I117" s="475"/>
      <c r="J117" s="475"/>
      <c r="K117" s="475"/>
      <c r="L117" s="475"/>
      <c r="M117" s="475"/>
      <c r="N117" s="476"/>
      <c r="O117" s="476"/>
      <c r="P117" s="476"/>
      <c r="Q117" s="476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</row>
    <row r="118" spans="2:28" s="439" customFormat="1" ht="10.5">
      <c r="B118" s="424"/>
      <c r="C118" s="424"/>
      <c r="D118" s="424"/>
      <c r="E118" s="424"/>
      <c r="F118" s="424"/>
      <c r="G118" s="424"/>
      <c r="H118" s="475"/>
      <c r="I118" s="475"/>
      <c r="J118" s="475"/>
      <c r="K118" s="475"/>
      <c r="L118" s="475"/>
      <c r="M118" s="475"/>
      <c r="N118" s="476"/>
      <c r="O118" s="476"/>
      <c r="P118" s="476"/>
      <c r="Q118" s="476"/>
      <c r="R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</row>
    <row r="119" spans="2:28" s="439" customFormat="1" ht="10.5">
      <c r="B119" s="424"/>
      <c r="C119" s="424"/>
      <c r="D119" s="424"/>
      <c r="E119" s="424"/>
      <c r="F119" s="424"/>
      <c r="G119" s="424"/>
      <c r="H119" s="475"/>
      <c r="I119" s="475"/>
      <c r="J119" s="475"/>
      <c r="K119" s="475"/>
      <c r="L119" s="475"/>
      <c r="M119" s="475"/>
      <c r="N119" s="476"/>
      <c r="O119" s="476"/>
      <c r="P119" s="476"/>
      <c r="Q119" s="476"/>
      <c r="R119" s="455"/>
      <c r="S119" s="455"/>
      <c r="T119" s="455"/>
      <c r="U119" s="455"/>
      <c r="V119" s="455"/>
      <c r="W119" s="455"/>
      <c r="X119" s="455"/>
      <c r="Y119" s="455"/>
      <c r="Z119" s="455"/>
      <c r="AA119" s="455"/>
      <c r="AB119" s="455"/>
    </row>
    <row r="120" spans="2:28" s="439" customFormat="1" ht="10.5">
      <c r="B120" s="424"/>
      <c r="C120" s="424"/>
      <c r="D120" s="424"/>
      <c r="E120" s="424"/>
      <c r="F120" s="424"/>
      <c r="G120" s="424"/>
      <c r="H120" s="475"/>
      <c r="I120" s="475"/>
      <c r="J120" s="475"/>
      <c r="K120" s="475"/>
      <c r="L120" s="475"/>
      <c r="M120" s="475"/>
      <c r="N120" s="476"/>
      <c r="O120" s="476"/>
      <c r="P120" s="476"/>
      <c r="Q120" s="476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</row>
    <row r="121" spans="2:28" s="439" customFormat="1" ht="10.5">
      <c r="B121" s="424"/>
      <c r="C121" s="424"/>
      <c r="D121" s="424"/>
      <c r="E121" s="424"/>
      <c r="F121" s="424"/>
      <c r="G121" s="424"/>
      <c r="H121" s="475"/>
      <c r="I121" s="475"/>
      <c r="J121" s="475"/>
      <c r="K121" s="475"/>
      <c r="L121" s="475"/>
      <c r="M121" s="475"/>
      <c r="N121" s="476"/>
      <c r="O121" s="476"/>
      <c r="P121" s="476"/>
      <c r="Q121" s="476"/>
      <c r="R121" s="455"/>
      <c r="S121" s="455"/>
      <c r="T121" s="455"/>
      <c r="U121" s="455"/>
      <c r="V121" s="455"/>
      <c r="W121" s="455"/>
      <c r="X121" s="455"/>
      <c r="Y121" s="455"/>
      <c r="Z121" s="455"/>
      <c r="AA121" s="455"/>
      <c r="AB121" s="455"/>
    </row>
    <row r="122" spans="2:28" s="439" customFormat="1" ht="10.5">
      <c r="B122" s="424"/>
      <c r="C122" s="424"/>
      <c r="D122" s="424"/>
      <c r="E122" s="424"/>
      <c r="F122" s="424"/>
      <c r="G122" s="424"/>
      <c r="H122" s="475"/>
      <c r="I122" s="475"/>
      <c r="J122" s="475"/>
      <c r="K122" s="475"/>
      <c r="L122" s="475"/>
      <c r="M122" s="475"/>
      <c r="N122" s="476"/>
      <c r="O122" s="476"/>
      <c r="P122" s="476"/>
      <c r="Q122" s="476"/>
      <c r="R122" s="455"/>
      <c r="S122" s="455"/>
      <c r="T122" s="455"/>
      <c r="U122" s="455"/>
      <c r="V122" s="455"/>
      <c r="W122" s="455"/>
      <c r="X122" s="455"/>
      <c r="Y122" s="455"/>
      <c r="Z122" s="455"/>
      <c r="AA122" s="455"/>
      <c r="AB122" s="455"/>
    </row>
    <row r="123" spans="2:28" s="439" customFormat="1" ht="10.5">
      <c r="B123" s="424"/>
      <c r="C123" s="424"/>
      <c r="D123" s="424"/>
      <c r="E123" s="424"/>
      <c r="F123" s="424"/>
      <c r="G123" s="424"/>
      <c r="H123" s="475"/>
      <c r="I123" s="475"/>
      <c r="J123" s="475"/>
      <c r="K123" s="475"/>
      <c r="L123" s="475"/>
      <c r="M123" s="475"/>
      <c r="N123" s="476"/>
      <c r="O123" s="476"/>
      <c r="P123" s="476"/>
      <c r="Q123" s="476"/>
      <c r="R123" s="455"/>
      <c r="S123" s="455"/>
      <c r="T123" s="455"/>
      <c r="U123" s="455"/>
      <c r="V123" s="455"/>
      <c r="W123" s="455"/>
      <c r="X123" s="455"/>
      <c r="Y123" s="455"/>
      <c r="Z123" s="455"/>
      <c r="AA123" s="455"/>
      <c r="AB123" s="455"/>
    </row>
    <row r="124" spans="2:28" s="439" customFormat="1" ht="10.5">
      <c r="B124" s="424"/>
      <c r="C124" s="424"/>
      <c r="D124" s="424"/>
      <c r="E124" s="424"/>
      <c r="F124" s="424"/>
      <c r="G124" s="424"/>
      <c r="H124" s="475"/>
      <c r="I124" s="475"/>
      <c r="J124" s="475"/>
      <c r="K124" s="475"/>
      <c r="L124" s="475"/>
      <c r="M124" s="475"/>
      <c r="N124" s="476"/>
      <c r="O124" s="476"/>
      <c r="P124" s="476"/>
      <c r="Q124" s="476"/>
      <c r="R124" s="455"/>
      <c r="S124" s="455"/>
      <c r="T124" s="455"/>
      <c r="U124" s="455"/>
      <c r="V124" s="455"/>
      <c r="W124" s="455"/>
      <c r="X124" s="455"/>
      <c r="Y124" s="455"/>
      <c r="Z124" s="455"/>
      <c r="AA124" s="455"/>
      <c r="AB124" s="455"/>
    </row>
    <row r="125" spans="2:28" s="439" customFormat="1" ht="10.5">
      <c r="B125" s="424"/>
      <c r="C125" s="424"/>
      <c r="D125" s="424"/>
      <c r="E125" s="424"/>
      <c r="F125" s="424"/>
      <c r="G125" s="424"/>
      <c r="H125" s="475"/>
      <c r="I125" s="475"/>
      <c r="J125" s="475"/>
      <c r="K125" s="475"/>
      <c r="L125" s="475"/>
      <c r="M125" s="475"/>
      <c r="N125" s="476"/>
      <c r="O125" s="476"/>
      <c r="P125" s="476"/>
      <c r="Q125" s="476"/>
      <c r="R125" s="455"/>
      <c r="S125" s="455"/>
      <c r="T125" s="455"/>
      <c r="U125" s="455"/>
      <c r="V125" s="455"/>
      <c r="W125" s="455"/>
      <c r="X125" s="455"/>
      <c r="Y125" s="455"/>
      <c r="Z125" s="455"/>
      <c r="AA125" s="455"/>
      <c r="AB125" s="455"/>
    </row>
    <row r="126" spans="2:28" s="439" customFormat="1" ht="10.5">
      <c r="B126" s="424"/>
      <c r="C126" s="424"/>
      <c r="D126" s="424"/>
      <c r="E126" s="424"/>
      <c r="F126" s="424"/>
      <c r="G126" s="424"/>
      <c r="H126" s="475"/>
      <c r="I126" s="475"/>
      <c r="J126" s="475"/>
      <c r="K126" s="475"/>
      <c r="L126" s="475"/>
      <c r="M126" s="475"/>
      <c r="N126" s="476"/>
      <c r="O126" s="476"/>
      <c r="P126" s="476"/>
      <c r="Q126" s="476"/>
      <c r="R126" s="455"/>
      <c r="S126" s="455"/>
      <c r="T126" s="455"/>
      <c r="U126" s="455"/>
      <c r="V126" s="455"/>
      <c r="W126" s="455"/>
      <c r="X126" s="455"/>
      <c r="Y126" s="455"/>
      <c r="Z126" s="455"/>
      <c r="AA126" s="455"/>
      <c r="AB126" s="455"/>
    </row>
    <row r="127" spans="2:28" s="439" customFormat="1" ht="10.5">
      <c r="B127" s="424"/>
      <c r="C127" s="424"/>
      <c r="D127" s="424"/>
      <c r="E127" s="424"/>
      <c r="F127" s="424"/>
      <c r="G127" s="424"/>
      <c r="H127" s="475"/>
      <c r="I127" s="475"/>
      <c r="J127" s="475"/>
      <c r="K127" s="475"/>
      <c r="L127" s="475"/>
      <c r="M127" s="475"/>
      <c r="N127" s="476"/>
      <c r="O127" s="476"/>
      <c r="P127" s="476"/>
      <c r="Q127" s="476"/>
      <c r="R127" s="455"/>
      <c r="S127" s="455"/>
      <c r="T127" s="455"/>
      <c r="U127" s="455"/>
      <c r="V127" s="455"/>
      <c r="W127" s="455"/>
      <c r="X127" s="455"/>
      <c r="Y127" s="455"/>
      <c r="Z127" s="455"/>
      <c r="AA127" s="455"/>
      <c r="AB127" s="455"/>
    </row>
    <row r="128" spans="2:28" s="439" customFormat="1" ht="10.5">
      <c r="B128" s="424"/>
      <c r="C128" s="424"/>
      <c r="D128" s="424"/>
      <c r="E128" s="424"/>
      <c r="F128" s="424"/>
      <c r="G128" s="424"/>
      <c r="H128" s="475"/>
      <c r="I128" s="475"/>
      <c r="J128" s="475"/>
      <c r="K128" s="475"/>
      <c r="L128" s="475"/>
      <c r="M128" s="475"/>
      <c r="N128" s="476"/>
      <c r="O128" s="476"/>
      <c r="P128" s="476"/>
      <c r="Q128" s="476"/>
      <c r="R128" s="455"/>
      <c r="S128" s="455"/>
      <c r="T128" s="455"/>
      <c r="U128" s="455"/>
      <c r="V128" s="455"/>
      <c r="W128" s="455"/>
      <c r="X128" s="455"/>
      <c r="Y128" s="455"/>
      <c r="Z128" s="455"/>
      <c r="AA128" s="455"/>
      <c r="AB128" s="455"/>
    </row>
    <row r="129" spans="2:28" s="439" customFormat="1" ht="10.5">
      <c r="B129" s="424"/>
      <c r="C129" s="424"/>
      <c r="D129" s="424"/>
      <c r="E129" s="424"/>
      <c r="F129" s="424"/>
      <c r="G129" s="424"/>
      <c r="H129" s="475"/>
      <c r="I129" s="475"/>
      <c r="J129" s="475"/>
      <c r="K129" s="475"/>
      <c r="L129" s="475"/>
      <c r="M129" s="475"/>
      <c r="N129" s="476"/>
      <c r="O129" s="476"/>
      <c r="P129" s="476"/>
      <c r="Q129" s="476"/>
      <c r="R129" s="455"/>
      <c r="S129" s="455"/>
      <c r="T129" s="455"/>
      <c r="U129" s="455"/>
      <c r="V129" s="455"/>
      <c r="W129" s="455"/>
      <c r="X129" s="455"/>
      <c r="Y129" s="455"/>
      <c r="Z129" s="455"/>
      <c r="AA129" s="455"/>
      <c r="AB129" s="455"/>
    </row>
    <row r="130" spans="2:28" s="439" customFormat="1" ht="10.5">
      <c r="B130" s="424"/>
      <c r="C130" s="424"/>
      <c r="D130" s="424"/>
      <c r="E130" s="424"/>
      <c r="F130" s="424"/>
      <c r="G130" s="424"/>
      <c r="H130" s="475"/>
      <c r="I130" s="475"/>
      <c r="J130" s="475"/>
      <c r="K130" s="475"/>
      <c r="L130" s="475"/>
      <c r="M130" s="475"/>
      <c r="N130" s="476"/>
      <c r="O130" s="476"/>
      <c r="P130" s="476"/>
      <c r="Q130" s="476"/>
      <c r="R130" s="455"/>
      <c r="S130" s="455"/>
      <c r="T130" s="455"/>
      <c r="U130" s="455"/>
      <c r="V130" s="455"/>
      <c r="W130" s="455"/>
      <c r="X130" s="455"/>
      <c r="Y130" s="455"/>
      <c r="Z130" s="455"/>
      <c r="AA130" s="455"/>
      <c r="AB130" s="455"/>
    </row>
    <row r="131" spans="2:28" s="439" customFormat="1" ht="10.5">
      <c r="B131" s="424"/>
      <c r="C131" s="424"/>
      <c r="D131" s="424"/>
      <c r="E131" s="424"/>
      <c r="F131" s="424"/>
      <c r="G131" s="424"/>
      <c r="H131" s="475"/>
      <c r="I131" s="475"/>
      <c r="J131" s="475"/>
      <c r="K131" s="475"/>
      <c r="L131" s="475"/>
      <c r="M131" s="475"/>
      <c r="N131" s="476"/>
      <c r="O131" s="476"/>
      <c r="P131" s="476"/>
      <c r="Q131" s="476"/>
      <c r="R131" s="455"/>
      <c r="S131" s="455"/>
      <c r="T131" s="455"/>
      <c r="U131" s="455"/>
      <c r="V131" s="455"/>
      <c r="W131" s="455"/>
      <c r="X131" s="455"/>
      <c r="Y131" s="455"/>
      <c r="Z131" s="455"/>
      <c r="AA131" s="455"/>
      <c r="AB131" s="455"/>
    </row>
    <row r="132" spans="2:28" s="439" customFormat="1" ht="10.5">
      <c r="B132" s="424"/>
      <c r="C132" s="424"/>
      <c r="D132" s="424"/>
      <c r="E132" s="424"/>
      <c r="F132" s="424"/>
      <c r="G132" s="424"/>
      <c r="H132" s="475"/>
      <c r="I132" s="475"/>
      <c r="J132" s="475"/>
      <c r="K132" s="475"/>
      <c r="L132" s="475"/>
      <c r="M132" s="475"/>
      <c r="N132" s="476"/>
      <c r="O132" s="476"/>
      <c r="P132" s="476"/>
      <c r="Q132" s="476"/>
      <c r="R132" s="455"/>
      <c r="S132" s="455"/>
      <c r="T132" s="455"/>
      <c r="U132" s="455"/>
      <c r="V132" s="455"/>
      <c r="W132" s="455"/>
      <c r="X132" s="455"/>
      <c r="Y132" s="455"/>
      <c r="Z132" s="455"/>
      <c r="AA132" s="455"/>
      <c r="AB132" s="455"/>
    </row>
    <row r="133" spans="2:28" s="439" customFormat="1" ht="10.5">
      <c r="B133" s="424"/>
      <c r="C133" s="424"/>
      <c r="D133" s="424"/>
      <c r="E133" s="424"/>
      <c r="F133" s="424"/>
      <c r="G133" s="424"/>
      <c r="H133" s="475"/>
      <c r="I133" s="475"/>
      <c r="J133" s="475"/>
      <c r="K133" s="475"/>
      <c r="L133" s="475"/>
      <c r="M133" s="475"/>
      <c r="N133" s="476"/>
      <c r="O133" s="476"/>
      <c r="P133" s="476"/>
      <c r="Q133" s="476"/>
      <c r="R133" s="455"/>
      <c r="S133" s="455"/>
      <c r="T133" s="455"/>
      <c r="U133" s="455"/>
      <c r="V133" s="455"/>
      <c r="W133" s="455"/>
      <c r="X133" s="455"/>
      <c r="Y133" s="455"/>
      <c r="Z133" s="455"/>
      <c r="AA133" s="455"/>
      <c r="AB133" s="455"/>
    </row>
    <row r="134" spans="2:28" s="439" customFormat="1" ht="10.5">
      <c r="B134" s="424"/>
      <c r="C134" s="424"/>
      <c r="D134" s="424"/>
      <c r="E134" s="424"/>
      <c r="F134" s="424"/>
      <c r="G134" s="424"/>
      <c r="H134" s="475"/>
      <c r="I134" s="475"/>
      <c r="J134" s="475"/>
      <c r="K134" s="475"/>
      <c r="L134" s="475"/>
      <c r="M134" s="475"/>
      <c r="N134" s="476"/>
      <c r="O134" s="476"/>
      <c r="P134" s="476"/>
      <c r="Q134" s="476"/>
      <c r="R134" s="455"/>
      <c r="S134" s="455"/>
      <c r="T134" s="455"/>
      <c r="U134" s="455"/>
      <c r="V134" s="455"/>
      <c r="W134" s="455"/>
      <c r="X134" s="455"/>
      <c r="Y134" s="455"/>
      <c r="Z134" s="455"/>
      <c r="AA134" s="455"/>
      <c r="AB134" s="455"/>
    </row>
    <row r="135" spans="2:28" s="439" customFormat="1" ht="10.5">
      <c r="B135" s="424"/>
      <c r="C135" s="424"/>
      <c r="D135" s="424"/>
      <c r="E135" s="424"/>
      <c r="F135" s="424"/>
      <c r="G135" s="424"/>
      <c r="H135" s="475"/>
      <c r="I135" s="475"/>
      <c r="J135" s="475"/>
      <c r="K135" s="475"/>
      <c r="L135" s="475"/>
      <c r="M135" s="475"/>
      <c r="N135" s="476"/>
      <c r="O135" s="476"/>
      <c r="P135" s="476"/>
      <c r="Q135" s="476"/>
      <c r="R135" s="455"/>
      <c r="S135" s="455"/>
      <c r="T135" s="455"/>
      <c r="U135" s="455"/>
      <c r="V135" s="455"/>
      <c r="W135" s="455"/>
      <c r="X135" s="455"/>
      <c r="Y135" s="455"/>
      <c r="Z135" s="455"/>
      <c r="AA135" s="455"/>
      <c r="AB135" s="455"/>
    </row>
    <row r="136" spans="2:28" s="439" customFormat="1" ht="10.5">
      <c r="B136" s="424"/>
      <c r="C136" s="424"/>
      <c r="D136" s="424"/>
      <c r="E136" s="424"/>
      <c r="F136" s="424"/>
      <c r="G136" s="424"/>
      <c r="H136" s="475"/>
      <c r="I136" s="475"/>
      <c r="J136" s="475"/>
      <c r="K136" s="475"/>
      <c r="L136" s="475"/>
      <c r="M136" s="475"/>
      <c r="N136" s="476"/>
      <c r="O136" s="476"/>
      <c r="P136" s="476"/>
      <c r="Q136" s="476"/>
      <c r="R136" s="455"/>
      <c r="S136" s="455"/>
      <c r="T136" s="455"/>
      <c r="U136" s="455"/>
      <c r="V136" s="455"/>
      <c r="W136" s="455"/>
      <c r="X136" s="455"/>
      <c r="Y136" s="455"/>
      <c r="Z136" s="455"/>
      <c r="AA136" s="455"/>
      <c r="AB136" s="455"/>
    </row>
    <row r="137" spans="2:28" s="439" customFormat="1" ht="10.5">
      <c r="B137" s="424"/>
      <c r="C137" s="424"/>
      <c r="D137" s="424"/>
      <c r="E137" s="424"/>
      <c r="F137" s="424"/>
      <c r="G137" s="424"/>
      <c r="H137" s="475"/>
      <c r="I137" s="475"/>
      <c r="J137" s="475"/>
      <c r="K137" s="475"/>
      <c r="L137" s="475"/>
      <c r="M137" s="475"/>
      <c r="N137" s="476"/>
      <c r="O137" s="476"/>
      <c r="P137" s="476"/>
      <c r="Q137" s="476"/>
      <c r="R137" s="455"/>
      <c r="S137" s="455"/>
      <c r="T137" s="455"/>
      <c r="U137" s="455"/>
      <c r="V137" s="455"/>
      <c r="W137" s="455"/>
      <c r="X137" s="455"/>
      <c r="Y137" s="455"/>
      <c r="Z137" s="455"/>
      <c r="AA137" s="455"/>
      <c r="AB137" s="455"/>
    </row>
    <row r="138" spans="2:28" s="439" customFormat="1" ht="10.5">
      <c r="B138" s="424"/>
      <c r="C138" s="424"/>
      <c r="D138" s="424"/>
      <c r="E138" s="424"/>
      <c r="F138" s="424"/>
      <c r="G138" s="424"/>
      <c r="H138" s="475"/>
      <c r="I138" s="475"/>
      <c r="J138" s="475"/>
      <c r="K138" s="475"/>
      <c r="L138" s="475"/>
      <c r="M138" s="475"/>
      <c r="N138" s="476"/>
      <c r="O138" s="476"/>
      <c r="P138" s="476"/>
      <c r="Q138" s="476"/>
      <c r="R138" s="455"/>
      <c r="S138" s="455"/>
      <c r="T138" s="455"/>
      <c r="U138" s="455"/>
      <c r="V138" s="455"/>
      <c r="W138" s="455"/>
      <c r="X138" s="455"/>
      <c r="Y138" s="455"/>
      <c r="Z138" s="455"/>
      <c r="AA138" s="455"/>
      <c r="AB138" s="455"/>
    </row>
    <row r="139" spans="2:28" s="439" customFormat="1" ht="10.5">
      <c r="B139" s="424"/>
      <c r="C139" s="424"/>
      <c r="D139" s="424"/>
      <c r="E139" s="424"/>
      <c r="F139" s="424"/>
      <c r="G139" s="424"/>
      <c r="H139" s="475"/>
      <c r="I139" s="475"/>
      <c r="J139" s="475"/>
      <c r="K139" s="475"/>
      <c r="L139" s="475"/>
      <c r="M139" s="475"/>
      <c r="N139" s="476"/>
      <c r="O139" s="476"/>
      <c r="P139" s="476"/>
      <c r="Q139" s="476"/>
      <c r="R139" s="455"/>
      <c r="S139" s="455"/>
      <c r="T139" s="455"/>
      <c r="U139" s="455"/>
      <c r="V139" s="455"/>
      <c r="W139" s="455"/>
      <c r="X139" s="455"/>
      <c r="Y139" s="455"/>
      <c r="Z139" s="455"/>
      <c r="AA139" s="455"/>
      <c r="AB139" s="455"/>
    </row>
    <row r="140" spans="2:28" s="439" customFormat="1" ht="10.5">
      <c r="B140" s="424"/>
      <c r="C140" s="424"/>
      <c r="D140" s="424"/>
      <c r="E140" s="424"/>
      <c r="F140" s="424"/>
      <c r="G140" s="424"/>
      <c r="H140" s="475"/>
      <c r="I140" s="475"/>
      <c r="J140" s="475"/>
      <c r="K140" s="475"/>
      <c r="L140" s="475"/>
      <c r="M140" s="475"/>
      <c r="N140" s="476"/>
      <c r="O140" s="476"/>
      <c r="P140" s="476"/>
      <c r="Q140" s="476"/>
      <c r="R140" s="455"/>
      <c r="S140" s="455"/>
      <c r="T140" s="455"/>
      <c r="U140" s="455"/>
      <c r="V140" s="455"/>
      <c r="W140" s="455"/>
      <c r="X140" s="455"/>
      <c r="Y140" s="455"/>
      <c r="Z140" s="455"/>
      <c r="AA140" s="455"/>
      <c r="AB140" s="455"/>
    </row>
    <row r="141" spans="2:28" s="439" customFormat="1" ht="10.5">
      <c r="B141" s="424"/>
      <c r="C141" s="424"/>
      <c r="D141" s="424"/>
      <c r="E141" s="424"/>
      <c r="F141" s="424"/>
      <c r="G141" s="424"/>
      <c r="H141" s="475"/>
      <c r="I141" s="475"/>
      <c r="J141" s="475"/>
      <c r="K141" s="475"/>
      <c r="L141" s="475"/>
      <c r="M141" s="475"/>
      <c r="N141" s="476"/>
      <c r="O141" s="476"/>
      <c r="P141" s="476"/>
      <c r="Q141" s="476"/>
      <c r="R141" s="455"/>
      <c r="S141" s="455"/>
      <c r="T141" s="455"/>
      <c r="U141" s="455"/>
      <c r="V141" s="455"/>
      <c r="W141" s="455"/>
      <c r="X141" s="455"/>
      <c r="Y141" s="455"/>
      <c r="Z141" s="455"/>
      <c r="AA141" s="455"/>
      <c r="AB141" s="455"/>
    </row>
    <row r="142" spans="2:28" s="439" customFormat="1" ht="10.5">
      <c r="B142" s="424"/>
      <c r="C142" s="424"/>
      <c r="D142" s="424"/>
      <c r="E142" s="424"/>
      <c r="F142" s="424"/>
      <c r="G142" s="424"/>
      <c r="H142" s="475"/>
      <c r="I142" s="475"/>
      <c r="J142" s="475"/>
      <c r="K142" s="475"/>
      <c r="L142" s="475"/>
      <c r="M142" s="475"/>
      <c r="N142" s="476"/>
      <c r="O142" s="476"/>
      <c r="P142" s="476"/>
      <c r="Q142" s="476"/>
      <c r="R142" s="455"/>
      <c r="S142" s="455"/>
      <c r="T142" s="455"/>
      <c r="U142" s="455"/>
      <c r="V142" s="455"/>
      <c r="W142" s="455"/>
      <c r="X142" s="455"/>
      <c r="Y142" s="455"/>
      <c r="Z142" s="455"/>
      <c r="AA142" s="455"/>
      <c r="AB142" s="455"/>
    </row>
    <row r="143" spans="2:28" s="439" customFormat="1" ht="10.5">
      <c r="B143" s="424"/>
      <c r="C143" s="424"/>
      <c r="D143" s="424"/>
      <c r="E143" s="424"/>
      <c r="F143" s="424"/>
      <c r="G143" s="424"/>
      <c r="H143" s="475"/>
      <c r="I143" s="475"/>
      <c r="J143" s="475"/>
      <c r="K143" s="475"/>
      <c r="L143" s="475"/>
      <c r="M143" s="475"/>
      <c r="N143" s="476"/>
      <c r="O143" s="476"/>
      <c r="P143" s="476"/>
      <c r="Q143" s="476"/>
      <c r="R143" s="455"/>
      <c r="S143" s="455"/>
      <c r="T143" s="455"/>
      <c r="U143" s="455"/>
      <c r="V143" s="455"/>
      <c r="W143" s="455"/>
      <c r="X143" s="455"/>
      <c r="Y143" s="455"/>
      <c r="Z143" s="455"/>
      <c r="AA143" s="455"/>
      <c r="AB143" s="455"/>
    </row>
    <row r="144" spans="2:28" s="439" customFormat="1" ht="10.5">
      <c r="B144" s="424"/>
      <c r="C144" s="424"/>
      <c r="D144" s="424"/>
      <c r="E144" s="424"/>
      <c r="F144" s="424"/>
      <c r="G144" s="424"/>
      <c r="H144" s="475"/>
      <c r="I144" s="475"/>
      <c r="J144" s="475"/>
      <c r="K144" s="475"/>
      <c r="L144" s="475"/>
      <c r="M144" s="475"/>
      <c r="N144" s="476"/>
      <c r="O144" s="476"/>
      <c r="P144" s="476"/>
      <c r="Q144" s="476"/>
      <c r="R144" s="455"/>
      <c r="S144" s="455"/>
      <c r="T144" s="455"/>
      <c r="U144" s="455"/>
      <c r="V144" s="455"/>
      <c r="W144" s="455"/>
      <c r="X144" s="455"/>
      <c r="Y144" s="455"/>
      <c r="Z144" s="455"/>
      <c r="AA144" s="455"/>
      <c r="AB144" s="455"/>
    </row>
    <row r="145" spans="2:28" s="439" customFormat="1" ht="10.5">
      <c r="B145" s="424"/>
      <c r="C145" s="424"/>
      <c r="D145" s="424"/>
      <c r="E145" s="424"/>
      <c r="F145" s="424"/>
      <c r="G145" s="424"/>
      <c r="H145" s="475"/>
      <c r="I145" s="475"/>
      <c r="J145" s="475"/>
      <c r="K145" s="475"/>
      <c r="L145" s="475"/>
      <c r="M145" s="475"/>
      <c r="N145" s="476"/>
      <c r="O145" s="476"/>
      <c r="P145" s="476"/>
      <c r="Q145" s="476"/>
      <c r="R145" s="455"/>
      <c r="S145" s="455"/>
      <c r="T145" s="455"/>
      <c r="U145" s="455"/>
      <c r="V145" s="455"/>
      <c r="W145" s="455"/>
      <c r="X145" s="455"/>
      <c r="Y145" s="455"/>
      <c r="Z145" s="455"/>
      <c r="AA145" s="455"/>
      <c r="AB145" s="455"/>
    </row>
    <row r="146" spans="2:28" s="439" customFormat="1" ht="10.5">
      <c r="B146" s="424"/>
      <c r="C146" s="424"/>
      <c r="D146" s="424"/>
      <c r="E146" s="424"/>
      <c r="F146" s="424"/>
      <c r="G146" s="424"/>
      <c r="H146" s="475"/>
      <c r="I146" s="475"/>
      <c r="J146" s="475"/>
      <c r="K146" s="475"/>
      <c r="L146" s="475"/>
      <c r="M146" s="475"/>
      <c r="N146" s="476"/>
      <c r="O146" s="476"/>
      <c r="P146" s="476"/>
      <c r="Q146" s="476"/>
      <c r="R146" s="455"/>
      <c r="S146" s="455"/>
      <c r="T146" s="455"/>
      <c r="U146" s="455"/>
      <c r="V146" s="455"/>
      <c r="W146" s="455"/>
      <c r="X146" s="455"/>
      <c r="Y146" s="455"/>
      <c r="Z146" s="455"/>
      <c r="AA146" s="455"/>
      <c r="AB146" s="455"/>
    </row>
    <row r="147" spans="2:28" s="439" customFormat="1" ht="10.5">
      <c r="B147" s="424"/>
      <c r="C147" s="424"/>
      <c r="D147" s="424"/>
      <c r="E147" s="424"/>
      <c r="F147" s="424"/>
      <c r="G147" s="424"/>
      <c r="H147" s="475"/>
      <c r="I147" s="475"/>
      <c r="J147" s="475"/>
      <c r="K147" s="475"/>
      <c r="L147" s="475"/>
      <c r="M147" s="475"/>
      <c r="N147" s="476"/>
      <c r="O147" s="476"/>
      <c r="P147" s="476"/>
      <c r="Q147" s="476"/>
      <c r="R147" s="455"/>
      <c r="S147" s="455"/>
      <c r="T147" s="455"/>
      <c r="U147" s="455"/>
      <c r="V147" s="455"/>
      <c r="W147" s="455"/>
      <c r="X147" s="455"/>
      <c r="Y147" s="455"/>
      <c r="Z147" s="455"/>
      <c r="AA147" s="455"/>
      <c r="AB147" s="455"/>
    </row>
    <row r="148" spans="2:28" s="439" customFormat="1" ht="10.5">
      <c r="B148" s="424"/>
      <c r="C148" s="424"/>
      <c r="D148" s="424"/>
      <c r="E148" s="424"/>
      <c r="F148" s="424"/>
      <c r="G148" s="424"/>
      <c r="H148" s="475"/>
      <c r="I148" s="475"/>
      <c r="J148" s="475"/>
      <c r="K148" s="475"/>
      <c r="L148" s="475"/>
      <c r="M148" s="475"/>
      <c r="N148" s="476"/>
      <c r="O148" s="476"/>
      <c r="P148" s="476"/>
      <c r="Q148" s="476"/>
      <c r="R148" s="455"/>
      <c r="S148" s="455"/>
      <c r="T148" s="455"/>
      <c r="U148" s="455"/>
      <c r="V148" s="455"/>
      <c r="W148" s="455"/>
      <c r="X148" s="455"/>
      <c r="Y148" s="455"/>
      <c r="Z148" s="455"/>
      <c r="AA148" s="455"/>
      <c r="AB148" s="455"/>
    </row>
    <row r="149" spans="2:28" s="439" customFormat="1" ht="10.5">
      <c r="B149" s="424"/>
      <c r="C149" s="424"/>
      <c r="D149" s="424"/>
      <c r="E149" s="424"/>
      <c r="F149" s="424"/>
      <c r="G149" s="424"/>
      <c r="H149" s="475"/>
      <c r="I149" s="475"/>
      <c r="J149" s="475"/>
      <c r="K149" s="475"/>
      <c r="L149" s="475"/>
      <c r="M149" s="475"/>
      <c r="N149" s="476"/>
      <c r="O149" s="476"/>
      <c r="P149" s="476"/>
      <c r="Q149" s="476"/>
      <c r="R149" s="455"/>
      <c r="S149" s="455"/>
      <c r="T149" s="455"/>
      <c r="U149" s="455"/>
      <c r="V149" s="455"/>
      <c r="W149" s="455"/>
      <c r="X149" s="455"/>
      <c r="Y149" s="455"/>
      <c r="Z149" s="455"/>
      <c r="AA149" s="455"/>
      <c r="AB149" s="455"/>
    </row>
    <row r="150" spans="2:28" s="439" customFormat="1" ht="10.5">
      <c r="B150" s="424"/>
      <c r="C150" s="424"/>
      <c r="D150" s="424"/>
      <c r="E150" s="424"/>
      <c r="F150" s="424"/>
      <c r="G150" s="424"/>
      <c r="H150" s="475"/>
      <c r="I150" s="475"/>
      <c r="J150" s="475"/>
      <c r="K150" s="475"/>
      <c r="L150" s="475"/>
      <c r="M150" s="475"/>
      <c r="N150" s="476"/>
      <c r="O150" s="476"/>
      <c r="P150" s="476"/>
      <c r="Q150" s="476"/>
      <c r="R150" s="455"/>
      <c r="S150" s="455"/>
      <c r="T150" s="455"/>
      <c r="U150" s="455"/>
      <c r="V150" s="455"/>
      <c r="W150" s="455"/>
      <c r="X150" s="455"/>
      <c r="Y150" s="455"/>
      <c r="Z150" s="455"/>
      <c r="AA150" s="455"/>
      <c r="AB150" s="455"/>
    </row>
    <row r="151" spans="2:28" s="439" customFormat="1" ht="10.5">
      <c r="B151" s="424"/>
      <c r="C151" s="424"/>
      <c r="D151" s="424"/>
      <c r="E151" s="424"/>
      <c r="F151" s="424"/>
      <c r="G151" s="424"/>
      <c r="H151" s="475"/>
      <c r="I151" s="475"/>
      <c r="J151" s="475"/>
      <c r="K151" s="475"/>
      <c r="L151" s="475"/>
      <c r="M151" s="475"/>
      <c r="N151" s="476"/>
      <c r="O151" s="476"/>
      <c r="P151" s="476"/>
      <c r="Q151" s="476"/>
      <c r="R151" s="455"/>
      <c r="S151" s="455"/>
      <c r="T151" s="455"/>
      <c r="U151" s="455"/>
      <c r="V151" s="455"/>
      <c r="W151" s="455"/>
      <c r="X151" s="455"/>
      <c r="Y151" s="455"/>
      <c r="Z151" s="455"/>
      <c r="AA151" s="455"/>
      <c r="AB151" s="455"/>
    </row>
    <row r="152" spans="2:28" s="439" customFormat="1" ht="10.5">
      <c r="B152" s="424"/>
      <c r="C152" s="424"/>
      <c r="D152" s="424"/>
      <c r="E152" s="424"/>
      <c r="F152" s="424"/>
      <c r="G152" s="424"/>
      <c r="H152" s="475"/>
      <c r="I152" s="475"/>
      <c r="J152" s="475"/>
      <c r="K152" s="475"/>
      <c r="L152" s="475"/>
      <c r="M152" s="475"/>
      <c r="N152" s="476"/>
      <c r="O152" s="476"/>
      <c r="P152" s="476"/>
      <c r="Q152" s="476"/>
      <c r="R152" s="455"/>
      <c r="S152" s="455"/>
      <c r="T152" s="455"/>
      <c r="U152" s="455"/>
      <c r="V152" s="455"/>
      <c r="W152" s="455"/>
      <c r="X152" s="455"/>
      <c r="Y152" s="455"/>
      <c r="Z152" s="455"/>
      <c r="AA152" s="455"/>
      <c r="AB152" s="455"/>
    </row>
    <row r="153" spans="2:28" s="439" customFormat="1" ht="10.5">
      <c r="B153" s="424"/>
      <c r="C153" s="424"/>
      <c r="D153" s="424"/>
      <c r="E153" s="424"/>
      <c r="F153" s="424"/>
      <c r="G153" s="424"/>
      <c r="H153" s="475"/>
      <c r="I153" s="475"/>
      <c r="J153" s="475"/>
      <c r="K153" s="475"/>
      <c r="L153" s="475"/>
      <c r="M153" s="475"/>
      <c r="N153" s="476"/>
      <c r="O153" s="476"/>
      <c r="P153" s="476"/>
      <c r="Q153" s="476"/>
      <c r="R153" s="455"/>
      <c r="S153" s="455"/>
      <c r="T153" s="455"/>
      <c r="U153" s="455"/>
      <c r="V153" s="455"/>
      <c r="W153" s="455"/>
      <c r="X153" s="455"/>
      <c r="Y153" s="455"/>
      <c r="Z153" s="455"/>
      <c r="AA153" s="455"/>
      <c r="AB153" s="455"/>
    </row>
    <row r="154" spans="2:28" s="439" customFormat="1" ht="10.5">
      <c r="B154" s="424"/>
      <c r="C154" s="424"/>
      <c r="D154" s="424"/>
      <c r="E154" s="424"/>
      <c r="F154" s="424"/>
      <c r="G154" s="424"/>
      <c r="H154" s="475"/>
      <c r="I154" s="475"/>
      <c r="J154" s="475"/>
      <c r="K154" s="475"/>
      <c r="L154" s="475"/>
      <c r="M154" s="475"/>
      <c r="N154" s="476"/>
      <c r="O154" s="476"/>
      <c r="P154" s="476"/>
      <c r="Q154" s="476"/>
      <c r="R154" s="455"/>
      <c r="S154" s="455"/>
      <c r="T154" s="455"/>
      <c r="U154" s="455"/>
      <c r="V154" s="455"/>
      <c r="W154" s="455"/>
      <c r="X154" s="455"/>
      <c r="Y154" s="455"/>
      <c r="Z154" s="455"/>
      <c r="AA154" s="455"/>
      <c r="AB154" s="455"/>
    </row>
    <row r="155" spans="2:28" s="439" customFormat="1" ht="10.5">
      <c r="B155" s="424"/>
      <c r="C155" s="424"/>
      <c r="D155" s="424"/>
      <c r="E155" s="424"/>
      <c r="F155" s="424"/>
      <c r="G155" s="424"/>
      <c r="H155" s="475"/>
      <c r="I155" s="475"/>
      <c r="J155" s="475"/>
      <c r="K155" s="475"/>
      <c r="L155" s="475"/>
      <c r="M155" s="475"/>
      <c r="N155" s="476"/>
      <c r="O155" s="476"/>
      <c r="P155" s="476"/>
      <c r="Q155" s="476"/>
      <c r="R155" s="455"/>
      <c r="S155" s="455"/>
      <c r="T155" s="455"/>
      <c r="U155" s="455"/>
      <c r="V155" s="455"/>
      <c r="W155" s="455"/>
      <c r="X155" s="455"/>
      <c r="Y155" s="455"/>
      <c r="Z155" s="455"/>
      <c r="AA155" s="455"/>
      <c r="AB155" s="455"/>
    </row>
    <row r="156" spans="2:28" s="439" customFormat="1" ht="10.5">
      <c r="B156" s="424"/>
      <c r="C156" s="424"/>
      <c r="D156" s="424"/>
      <c r="E156" s="424"/>
      <c r="F156" s="424"/>
      <c r="G156" s="424"/>
      <c r="H156" s="475"/>
      <c r="I156" s="475"/>
      <c r="J156" s="475"/>
      <c r="K156" s="475"/>
      <c r="L156" s="475"/>
      <c r="M156" s="475"/>
      <c r="N156" s="476"/>
      <c r="O156" s="476"/>
      <c r="P156" s="476"/>
      <c r="Q156" s="476"/>
      <c r="R156" s="455"/>
      <c r="S156" s="455"/>
      <c r="T156" s="455"/>
      <c r="U156" s="455"/>
      <c r="V156" s="455"/>
      <c r="W156" s="455"/>
      <c r="X156" s="455"/>
      <c r="Y156" s="455"/>
      <c r="Z156" s="455"/>
      <c r="AA156" s="455"/>
      <c r="AB156" s="455"/>
    </row>
    <row r="157" spans="2:28" s="439" customFormat="1" ht="10.5">
      <c r="B157" s="424"/>
      <c r="C157" s="424"/>
      <c r="D157" s="424"/>
      <c r="E157" s="424"/>
      <c r="F157" s="424"/>
      <c r="G157" s="424"/>
      <c r="H157" s="475"/>
      <c r="I157" s="475"/>
      <c r="J157" s="475"/>
      <c r="K157" s="475"/>
      <c r="L157" s="475"/>
      <c r="M157" s="475"/>
      <c r="N157" s="476"/>
      <c r="O157" s="476"/>
      <c r="P157" s="476"/>
      <c r="Q157" s="476"/>
      <c r="R157" s="455"/>
      <c r="S157" s="455"/>
      <c r="T157" s="455"/>
      <c r="U157" s="455"/>
      <c r="V157" s="455"/>
      <c r="W157" s="455"/>
      <c r="X157" s="455"/>
      <c r="Y157" s="455"/>
      <c r="Z157" s="455"/>
      <c r="AA157" s="455"/>
      <c r="AB157" s="455"/>
    </row>
    <row r="158" spans="2:28" s="439" customFormat="1" ht="10.5">
      <c r="B158" s="424"/>
      <c r="C158" s="424"/>
      <c r="D158" s="424"/>
      <c r="E158" s="424"/>
      <c r="F158" s="424"/>
      <c r="G158" s="424"/>
      <c r="H158" s="475"/>
      <c r="I158" s="475"/>
      <c r="J158" s="475"/>
      <c r="K158" s="475"/>
      <c r="L158" s="475"/>
      <c r="M158" s="475"/>
      <c r="N158" s="476"/>
      <c r="O158" s="476"/>
      <c r="P158" s="476"/>
      <c r="Q158" s="476"/>
      <c r="R158" s="455"/>
      <c r="S158" s="455"/>
      <c r="T158" s="455"/>
      <c r="U158" s="455"/>
      <c r="V158" s="455"/>
      <c r="W158" s="455"/>
      <c r="X158" s="455"/>
      <c r="Y158" s="455"/>
      <c r="Z158" s="455"/>
      <c r="AA158" s="455"/>
      <c r="AB158" s="455"/>
    </row>
    <row r="159" spans="2:28" s="439" customFormat="1" ht="10.5">
      <c r="B159" s="424"/>
      <c r="C159" s="424"/>
      <c r="D159" s="424"/>
      <c r="E159" s="424"/>
      <c r="F159" s="424"/>
      <c r="G159" s="424"/>
      <c r="H159" s="475"/>
      <c r="I159" s="475"/>
      <c r="J159" s="475"/>
      <c r="K159" s="475"/>
      <c r="L159" s="475"/>
      <c r="M159" s="475"/>
      <c r="N159" s="476"/>
      <c r="O159" s="476"/>
      <c r="P159" s="476"/>
      <c r="Q159" s="476"/>
      <c r="R159" s="455"/>
      <c r="S159" s="455"/>
      <c r="T159" s="455"/>
      <c r="U159" s="455"/>
      <c r="V159" s="455"/>
      <c r="W159" s="455"/>
      <c r="X159" s="455"/>
      <c r="Y159" s="455"/>
      <c r="Z159" s="455"/>
      <c r="AA159" s="455"/>
      <c r="AB159" s="455"/>
    </row>
    <row r="160" spans="2:28" s="439" customFormat="1" ht="10.5">
      <c r="B160" s="424"/>
      <c r="C160" s="424"/>
      <c r="D160" s="424"/>
      <c r="E160" s="424"/>
      <c r="F160" s="424"/>
      <c r="G160" s="424"/>
      <c r="H160" s="475"/>
      <c r="I160" s="475"/>
      <c r="J160" s="475"/>
      <c r="K160" s="475"/>
      <c r="L160" s="475"/>
      <c r="M160" s="475"/>
      <c r="N160" s="476"/>
      <c r="O160" s="476"/>
      <c r="P160" s="476"/>
      <c r="Q160" s="476"/>
      <c r="R160" s="455"/>
      <c r="S160" s="455"/>
      <c r="T160" s="455"/>
      <c r="U160" s="455"/>
      <c r="V160" s="455"/>
      <c r="W160" s="455"/>
      <c r="X160" s="455"/>
      <c r="Y160" s="455"/>
      <c r="Z160" s="455"/>
      <c r="AA160" s="455"/>
      <c r="AB160" s="455"/>
    </row>
    <row r="161" spans="2:28" s="439" customFormat="1" ht="10.5">
      <c r="B161" s="424"/>
      <c r="C161" s="424"/>
      <c r="D161" s="424"/>
      <c r="E161" s="424"/>
      <c r="F161" s="424"/>
      <c r="G161" s="424"/>
      <c r="H161" s="475"/>
      <c r="I161" s="475"/>
      <c r="J161" s="475"/>
      <c r="K161" s="475"/>
      <c r="L161" s="475"/>
      <c r="M161" s="475"/>
      <c r="N161" s="476"/>
      <c r="O161" s="476"/>
      <c r="P161" s="476"/>
      <c r="Q161" s="476"/>
      <c r="R161" s="455"/>
      <c r="S161" s="455"/>
      <c r="T161" s="455"/>
      <c r="U161" s="455"/>
      <c r="V161" s="455"/>
      <c r="W161" s="455"/>
      <c r="X161" s="455"/>
      <c r="Y161" s="455"/>
      <c r="Z161" s="455"/>
      <c r="AA161" s="455"/>
      <c r="AB161" s="455"/>
    </row>
    <row r="162" spans="2:28" s="439" customFormat="1" ht="10.5">
      <c r="B162" s="424"/>
      <c r="C162" s="424"/>
      <c r="D162" s="424"/>
      <c r="E162" s="424"/>
      <c r="F162" s="424"/>
      <c r="G162" s="424"/>
      <c r="H162" s="475"/>
      <c r="I162" s="475"/>
      <c r="J162" s="475"/>
      <c r="K162" s="475"/>
      <c r="L162" s="475"/>
      <c r="M162" s="475"/>
      <c r="N162" s="476"/>
      <c r="O162" s="476"/>
      <c r="P162" s="476"/>
      <c r="Q162" s="476"/>
      <c r="R162" s="455"/>
      <c r="S162" s="455"/>
      <c r="T162" s="455"/>
      <c r="U162" s="455"/>
      <c r="V162" s="455"/>
      <c r="W162" s="455"/>
      <c r="X162" s="455"/>
      <c r="Y162" s="455"/>
      <c r="Z162" s="455"/>
      <c r="AA162" s="455"/>
      <c r="AB162" s="455"/>
    </row>
    <row r="163" spans="2:28" s="439" customFormat="1" ht="10.5">
      <c r="B163" s="424"/>
      <c r="C163" s="424"/>
      <c r="D163" s="424"/>
      <c r="E163" s="424"/>
      <c r="F163" s="424"/>
      <c r="G163" s="424"/>
      <c r="H163" s="475"/>
      <c r="I163" s="475"/>
      <c r="J163" s="475"/>
      <c r="K163" s="475"/>
      <c r="L163" s="475"/>
      <c r="M163" s="475"/>
      <c r="N163" s="476"/>
      <c r="O163" s="476"/>
      <c r="P163" s="476"/>
      <c r="Q163" s="476"/>
      <c r="R163" s="455"/>
      <c r="S163" s="455"/>
      <c r="T163" s="455"/>
      <c r="U163" s="455"/>
      <c r="V163" s="455"/>
      <c r="W163" s="455"/>
      <c r="X163" s="455"/>
      <c r="Y163" s="455"/>
      <c r="Z163" s="455"/>
      <c r="AA163" s="455"/>
      <c r="AB163" s="455"/>
    </row>
    <row r="164" spans="2:28" s="439" customFormat="1" ht="10.5">
      <c r="B164" s="424"/>
      <c r="C164" s="424"/>
      <c r="D164" s="424"/>
      <c r="E164" s="424"/>
      <c r="F164" s="424"/>
      <c r="G164" s="424"/>
      <c r="H164" s="475"/>
      <c r="I164" s="475"/>
      <c r="J164" s="475"/>
      <c r="K164" s="475"/>
      <c r="L164" s="475"/>
      <c r="M164" s="475"/>
      <c r="N164" s="476"/>
      <c r="O164" s="476"/>
      <c r="P164" s="476"/>
      <c r="Q164" s="476"/>
      <c r="R164" s="455"/>
      <c r="S164" s="455"/>
      <c r="T164" s="455"/>
      <c r="U164" s="455"/>
      <c r="V164" s="455"/>
      <c r="W164" s="455"/>
      <c r="X164" s="455"/>
      <c r="Y164" s="455"/>
      <c r="Z164" s="455"/>
      <c r="AA164" s="455"/>
      <c r="AB164" s="455"/>
    </row>
    <row r="165" spans="2:28" s="439" customFormat="1" ht="10.5">
      <c r="B165" s="424"/>
      <c r="C165" s="424"/>
      <c r="D165" s="424"/>
      <c r="E165" s="424"/>
      <c r="F165" s="424"/>
      <c r="G165" s="424"/>
      <c r="H165" s="475"/>
      <c r="I165" s="475"/>
      <c r="J165" s="475"/>
      <c r="K165" s="475"/>
      <c r="L165" s="475"/>
      <c r="M165" s="475"/>
      <c r="N165" s="476"/>
      <c r="O165" s="476"/>
      <c r="P165" s="476"/>
      <c r="Q165" s="476"/>
      <c r="R165" s="455"/>
      <c r="S165" s="455"/>
      <c r="T165" s="455"/>
      <c r="U165" s="455"/>
      <c r="V165" s="455"/>
      <c r="W165" s="455"/>
      <c r="X165" s="455"/>
      <c r="Y165" s="455"/>
      <c r="Z165" s="455"/>
      <c r="AA165" s="455"/>
      <c r="AB165" s="455"/>
    </row>
    <row r="166" spans="2:28" s="439" customFormat="1" ht="10.5">
      <c r="B166" s="424"/>
      <c r="C166" s="424"/>
      <c r="D166" s="424"/>
      <c r="E166" s="424"/>
      <c r="F166" s="424"/>
      <c r="G166" s="424"/>
      <c r="H166" s="475"/>
      <c r="I166" s="475"/>
      <c r="J166" s="475"/>
      <c r="K166" s="475"/>
      <c r="L166" s="475"/>
      <c r="M166" s="475"/>
      <c r="N166" s="476"/>
      <c r="O166" s="476"/>
      <c r="P166" s="476"/>
      <c r="Q166" s="476"/>
      <c r="R166" s="455"/>
      <c r="S166" s="455"/>
      <c r="T166" s="455"/>
      <c r="U166" s="455"/>
      <c r="V166" s="455"/>
      <c r="W166" s="455"/>
      <c r="X166" s="455"/>
      <c r="Y166" s="455"/>
      <c r="Z166" s="455"/>
      <c r="AA166" s="455"/>
      <c r="AB166" s="455"/>
    </row>
    <row r="167" spans="2:28" s="439" customFormat="1" ht="10.5">
      <c r="B167" s="424"/>
      <c r="C167" s="424"/>
      <c r="D167" s="424"/>
      <c r="E167" s="424"/>
      <c r="F167" s="424"/>
      <c r="G167" s="424"/>
      <c r="H167" s="475"/>
      <c r="I167" s="475"/>
      <c r="J167" s="475"/>
      <c r="K167" s="475"/>
      <c r="L167" s="475"/>
      <c r="M167" s="475"/>
      <c r="N167" s="476"/>
      <c r="O167" s="476"/>
      <c r="P167" s="476"/>
      <c r="Q167" s="476"/>
      <c r="R167" s="455"/>
      <c r="S167" s="455"/>
      <c r="T167" s="455"/>
      <c r="U167" s="455"/>
      <c r="V167" s="455"/>
      <c r="W167" s="455"/>
      <c r="X167" s="455"/>
      <c r="Y167" s="455"/>
      <c r="Z167" s="455"/>
      <c r="AA167" s="455"/>
      <c r="AB167" s="455"/>
    </row>
    <row r="168" spans="2:28" s="439" customFormat="1" ht="10.5">
      <c r="B168" s="424"/>
      <c r="C168" s="424"/>
      <c r="D168" s="424"/>
      <c r="E168" s="424"/>
      <c r="F168" s="424"/>
      <c r="G168" s="424"/>
      <c r="H168" s="475"/>
      <c r="I168" s="475"/>
      <c r="J168" s="475"/>
      <c r="K168" s="475"/>
      <c r="L168" s="475"/>
      <c r="M168" s="475"/>
      <c r="N168" s="476"/>
      <c r="O168" s="476"/>
      <c r="P168" s="476"/>
      <c r="Q168" s="476"/>
      <c r="R168" s="455"/>
      <c r="S168" s="455"/>
      <c r="T168" s="455"/>
      <c r="U168" s="455"/>
      <c r="V168" s="455"/>
      <c r="W168" s="455"/>
      <c r="X168" s="455"/>
      <c r="Y168" s="455"/>
      <c r="Z168" s="455"/>
      <c r="AA168" s="455"/>
      <c r="AB168" s="455"/>
    </row>
    <row r="169" spans="2:28" s="439" customFormat="1" ht="10.5">
      <c r="B169" s="424"/>
      <c r="C169" s="424"/>
      <c r="D169" s="424"/>
      <c r="E169" s="424"/>
      <c r="F169" s="424"/>
      <c r="G169" s="424"/>
      <c r="H169" s="475"/>
      <c r="I169" s="475"/>
      <c r="J169" s="475"/>
      <c r="K169" s="475"/>
      <c r="L169" s="475"/>
      <c r="M169" s="475"/>
      <c r="N169" s="476"/>
      <c r="O169" s="476"/>
      <c r="P169" s="476"/>
      <c r="Q169" s="476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</row>
    <row r="170" spans="2:28" s="439" customFormat="1" ht="10.5">
      <c r="B170" s="424"/>
      <c r="C170" s="424"/>
      <c r="D170" s="424"/>
      <c r="E170" s="424"/>
      <c r="F170" s="424"/>
      <c r="G170" s="424"/>
      <c r="H170" s="475"/>
      <c r="I170" s="475"/>
      <c r="J170" s="475"/>
      <c r="K170" s="475"/>
      <c r="L170" s="475"/>
      <c r="M170" s="475"/>
      <c r="N170" s="476"/>
      <c r="O170" s="476"/>
      <c r="P170" s="476"/>
      <c r="Q170" s="476"/>
      <c r="R170" s="455"/>
      <c r="S170" s="455"/>
      <c r="T170" s="455"/>
      <c r="U170" s="455"/>
      <c r="V170" s="455"/>
      <c r="W170" s="455"/>
      <c r="X170" s="455"/>
      <c r="Y170" s="455"/>
      <c r="Z170" s="455"/>
      <c r="AA170" s="455"/>
      <c r="AB170" s="455"/>
    </row>
    <row r="171" spans="2:28" s="439" customFormat="1" ht="10.5">
      <c r="B171" s="424"/>
      <c r="C171" s="424"/>
      <c r="D171" s="424"/>
      <c r="E171" s="424"/>
      <c r="F171" s="424"/>
      <c r="G171" s="424"/>
      <c r="H171" s="475"/>
      <c r="I171" s="475"/>
      <c r="J171" s="475"/>
      <c r="K171" s="475"/>
      <c r="L171" s="475"/>
      <c r="M171" s="475"/>
      <c r="N171" s="476"/>
      <c r="O171" s="476"/>
      <c r="P171" s="476"/>
      <c r="Q171" s="476"/>
      <c r="R171" s="455"/>
      <c r="S171" s="455"/>
      <c r="T171" s="455"/>
      <c r="U171" s="455"/>
      <c r="V171" s="455"/>
      <c r="W171" s="455"/>
      <c r="X171" s="455"/>
      <c r="Y171" s="455"/>
      <c r="Z171" s="455"/>
      <c r="AA171" s="455"/>
      <c r="AB171" s="455"/>
    </row>
    <row r="172" spans="2:28" s="439" customFormat="1" ht="10.5">
      <c r="B172" s="424"/>
      <c r="C172" s="424"/>
      <c r="D172" s="424"/>
      <c r="E172" s="424"/>
      <c r="F172" s="424"/>
      <c r="G172" s="424"/>
      <c r="H172" s="475"/>
      <c r="I172" s="475"/>
      <c r="J172" s="475"/>
      <c r="K172" s="475"/>
      <c r="L172" s="475"/>
      <c r="M172" s="475"/>
      <c r="N172" s="476"/>
      <c r="O172" s="476"/>
      <c r="P172" s="476"/>
      <c r="Q172" s="476"/>
      <c r="R172" s="45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455"/>
    </row>
    <row r="173" spans="2:28" s="439" customFormat="1" ht="10.5">
      <c r="B173" s="424"/>
      <c r="C173" s="424"/>
      <c r="D173" s="424"/>
      <c r="E173" s="424"/>
      <c r="F173" s="424"/>
      <c r="G173" s="424"/>
      <c r="H173" s="475"/>
      <c r="I173" s="475"/>
      <c r="J173" s="475"/>
      <c r="K173" s="475"/>
      <c r="L173" s="475"/>
      <c r="M173" s="475"/>
      <c r="N173" s="476"/>
      <c r="O173" s="476"/>
      <c r="P173" s="476"/>
      <c r="Q173" s="476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</row>
    <row r="174" spans="2:28" s="439" customFormat="1" ht="10.5">
      <c r="B174" s="424"/>
      <c r="C174" s="424"/>
      <c r="D174" s="424"/>
      <c r="E174" s="424"/>
      <c r="F174" s="424"/>
      <c r="G174" s="424"/>
      <c r="H174" s="475"/>
      <c r="I174" s="475"/>
      <c r="J174" s="475"/>
      <c r="K174" s="475"/>
      <c r="L174" s="475"/>
      <c r="M174" s="475"/>
      <c r="N174" s="476"/>
      <c r="O174" s="476"/>
      <c r="P174" s="476"/>
      <c r="Q174" s="476"/>
      <c r="R174" s="455"/>
      <c r="S174" s="455"/>
      <c r="T174" s="455"/>
      <c r="U174" s="455"/>
      <c r="V174" s="455"/>
      <c r="W174" s="455"/>
      <c r="X174" s="455"/>
      <c r="Y174" s="455"/>
      <c r="Z174" s="455"/>
      <c r="AA174" s="455"/>
      <c r="AB174" s="455"/>
    </row>
    <row r="175" spans="2:28" s="439" customFormat="1" ht="10.5">
      <c r="B175" s="424"/>
      <c r="C175" s="424"/>
      <c r="D175" s="424"/>
      <c r="E175" s="424"/>
      <c r="F175" s="424"/>
      <c r="G175" s="424"/>
      <c r="H175" s="475"/>
      <c r="I175" s="475"/>
      <c r="J175" s="475"/>
      <c r="K175" s="475"/>
      <c r="L175" s="475"/>
      <c r="M175" s="475"/>
      <c r="N175" s="476"/>
      <c r="O175" s="476"/>
      <c r="P175" s="476"/>
      <c r="Q175" s="476"/>
      <c r="R175" s="455"/>
      <c r="S175" s="455"/>
      <c r="T175" s="455"/>
      <c r="U175" s="455"/>
      <c r="V175" s="455"/>
      <c r="W175" s="455"/>
      <c r="X175" s="455"/>
      <c r="Y175" s="455"/>
      <c r="Z175" s="455"/>
      <c r="AA175" s="455"/>
      <c r="AB175" s="455"/>
    </row>
    <row r="176" spans="2:28" s="439" customFormat="1" ht="10.5">
      <c r="B176" s="424"/>
      <c r="C176" s="424"/>
      <c r="D176" s="424"/>
      <c r="E176" s="424"/>
      <c r="F176" s="424"/>
      <c r="G176" s="424"/>
      <c r="H176" s="475"/>
      <c r="I176" s="475"/>
      <c r="J176" s="475"/>
      <c r="K176" s="475"/>
      <c r="L176" s="475"/>
      <c r="M176" s="475"/>
      <c r="N176" s="476"/>
      <c r="O176" s="476"/>
      <c r="P176" s="476"/>
      <c r="Q176" s="476"/>
      <c r="R176" s="455"/>
      <c r="S176" s="455"/>
      <c r="T176" s="455"/>
      <c r="U176" s="455"/>
      <c r="V176" s="455"/>
      <c r="W176" s="455"/>
      <c r="X176" s="455"/>
      <c r="Y176" s="455"/>
      <c r="Z176" s="455"/>
      <c r="AA176" s="455"/>
      <c r="AB176" s="455"/>
    </row>
    <row r="177" spans="2:28" s="439" customFormat="1" ht="10.5">
      <c r="B177" s="424"/>
      <c r="C177" s="424"/>
      <c r="D177" s="424"/>
      <c r="E177" s="424"/>
      <c r="F177" s="424"/>
      <c r="G177" s="424"/>
      <c r="H177" s="475"/>
      <c r="I177" s="475"/>
      <c r="J177" s="475"/>
      <c r="K177" s="475"/>
      <c r="L177" s="475"/>
      <c r="M177" s="475"/>
      <c r="N177" s="476"/>
      <c r="O177" s="476"/>
      <c r="P177" s="476"/>
      <c r="Q177" s="476"/>
      <c r="R177" s="455"/>
      <c r="S177" s="455"/>
      <c r="T177" s="455"/>
      <c r="U177" s="455"/>
      <c r="V177" s="455"/>
      <c r="W177" s="455"/>
      <c r="X177" s="455"/>
      <c r="Y177" s="455"/>
      <c r="Z177" s="455"/>
      <c r="AA177" s="455"/>
      <c r="AB177" s="455"/>
    </row>
    <row r="178" spans="2:28" s="439" customFormat="1" ht="10.5">
      <c r="B178" s="424"/>
      <c r="C178" s="424"/>
      <c r="D178" s="424"/>
      <c r="E178" s="424"/>
      <c r="F178" s="424"/>
      <c r="G178" s="424"/>
      <c r="H178" s="475"/>
      <c r="I178" s="475"/>
      <c r="J178" s="475"/>
      <c r="K178" s="475"/>
      <c r="L178" s="475"/>
      <c r="M178" s="475"/>
      <c r="N178" s="476"/>
      <c r="O178" s="476"/>
      <c r="P178" s="476"/>
      <c r="Q178" s="476"/>
      <c r="R178" s="455"/>
      <c r="S178" s="455"/>
      <c r="T178" s="455"/>
      <c r="U178" s="455"/>
      <c r="V178" s="455"/>
      <c r="W178" s="455"/>
      <c r="X178" s="455"/>
      <c r="Y178" s="455"/>
      <c r="Z178" s="455"/>
      <c r="AA178" s="455"/>
      <c r="AB178" s="455"/>
    </row>
    <row r="179" spans="2:28" s="439" customFormat="1" ht="10.5">
      <c r="B179" s="424"/>
      <c r="C179" s="424"/>
      <c r="D179" s="424"/>
      <c r="E179" s="424"/>
      <c r="F179" s="424"/>
      <c r="G179" s="424"/>
      <c r="H179" s="475"/>
      <c r="I179" s="475"/>
      <c r="J179" s="475"/>
      <c r="K179" s="475"/>
      <c r="L179" s="475"/>
      <c r="M179" s="475"/>
      <c r="N179" s="476"/>
      <c r="O179" s="476"/>
      <c r="P179" s="476"/>
      <c r="Q179" s="476"/>
      <c r="R179" s="455"/>
      <c r="S179" s="455"/>
      <c r="T179" s="455"/>
      <c r="U179" s="455"/>
      <c r="V179" s="455"/>
      <c r="W179" s="455"/>
      <c r="X179" s="455"/>
      <c r="Y179" s="455"/>
      <c r="Z179" s="455"/>
      <c r="AA179" s="455"/>
      <c r="AB179" s="455"/>
    </row>
    <row r="180" spans="2:28" s="439" customFormat="1" ht="10.5">
      <c r="B180" s="424"/>
      <c r="C180" s="424"/>
      <c r="D180" s="424"/>
      <c r="E180" s="424"/>
      <c r="F180" s="424"/>
      <c r="G180" s="424"/>
      <c r="H180" s="475"/>
      <c r="I180" s="475"/>
      <c r="J180" s="475"/>
      <c r="K180" s="475"/>
      <c r="L180" s="475"/>
      <c r="M180" s="475"/>
      <c r="N180" s="476"/>
      <c r="O180" s="476"/>
      <c r="P180" s="476"/>
      <c r="Q180" s="476"/>
      <c r="R180" s="455"/>
      <c r="S180" s="455"/>
      <c r="T180" s="455"/>
      <c r="U180" s="455"/>
      <c r="V180" s="455"/>
      <c r="W180" s="455"/>
      <c r="X180" s="455"/>
      <c r="Y180" s="455"/>
      <c r="Z180" s="455"/>
      <c r="AA180" s="455"/>
      <c r="AB180" s="455"/>
    </row>
    <row r="181" spans="2:28" s="439" customFormat="1" ht="10.5">
      <c r="B181" s="424"/>
      <c r="C181" s="424"/>
      <c r="D181" s="424"/>
      <c r="E181" s="424"/>
      <c r="F181" s="424"/>
      <c r="G181" s="424"/>
      <c r="H181" s="475"/>
      <c r="I181" s="475"/>
      <c r="J181" s="475"/>
      <c r="K181" s="475"/>
      <c r="L181" s="475"/>
      <c r="M181" s="475"/>
      <c r="N181" s="476"/>
      <c r="O181" s="476"/>
      <c r="P181" s="476"/>
      <c r="Q181" s="476"/>
      <c r="R181" s="455"/>
      <c r="S181" s="455"/>
      <c r="T181" s="455"/>
      <c r="U181" s="455"/>
      <c r="V181" s="455"/>
      <c r="W181" s="455"/>
      <c r="X181" s="455"/>
      <c r="Y181" s="455"/>
      <c r="Z181" s="455"/>
      <c r="AA181" s="455"/>
      <c r="AB181" s="455"/>
    </row>
    <row r="182" spans="2:28" s="439" customFormat="1" ht="10.5">
      <c r="B182" s="424"/>
      <c r="C182" s="424"/>
      <c r="D182" s="424"/>
      <c r="E182" s="424"/>
      <c r="F182" s="424"/>
      <c r="G182" s="424"/>
      <c r="H182" s="475"/>
      <c r="I182" s="475"/>
      <c r="J182" s="475"/>
      <c r="K182" s="475"/>
      <c r="L182" s="475"/>
      <c r="M182" s="475"/>
      <c r="N182" s="476"/>
      <c r="O182" s="476"/>
      <c r="P182" s="476"/>
      <c r="Q182" s="476"/>
      <c r="R182" s="455"/>
      <c r="S182" s="455"/>
      <c r="T182" s="455"/>
      <c r="U182" s="455"/>
      <c r="V182" s="455"/>
      <c r="W182" s="455"/>
      <c r="X182" s="455"/>
      <c r="Y182" s="455"/>
      <c r="Z182" s="455"/>
      <c r="AA182" s="455"/>
      <c r="AB182" s="455"/>
    </row>
    <row r="183" spans="2:28" s="439" customFormat="1" ht="10.5">
      <c r="B183" s="424"/>
      <c r="C183" s="424"/>
      <c r="D183" s="424"/>
      <c r="E183" s="424"/>
      <c r="F183" s="424"/>
      <c r="G183" s="424"/>
      <c r="H183" s="475"/>
      <c r="I183" s="475"/>
      <c r="J183" s="475"/>
      <c r="K183" s="475"/>
      <c r="L183" s="475"/>
      <c r="M183" s="475"/>
      <c r="N183" s="476"/>
      <c r="O183" s="476"/>
      <c r="P183" s="476"/>
      <c r="Q183" s="476"/>
      <c r="R183" s="455"/>
      <c r="S183" s="455"/>
      <c r="T183" s="455"/>
      <c r="U183" s="455"/>
      <c r="V183" s="455"/>
      <c r="W183" s="455"/>
      <c r="X183" s="455"/>
      <c r="Y183" s="455"/>
      <c r="Z183" s="455"/>
      <c r="AA183" s="455"/>
      <c r="AB183" s="455"/>
    </row>
    <row r="184" spans="2:28" s="439" customFormat="1" ht="10.5">
      <c r="B184" s="424"/>
      <c r="C184" s="424"/>
      <c r="D184" s="424"/>
      <c r="E184" s="424"/>
      <c r="F184" s="424"/>
      <c r="G184" s="424"/>
      <c r="H184" s="475"/>
      <c r="I184" s="475"/>
      <c r="J184" s="475"/>
      <c r="K184" s="475"/>
      <c r="L184" s="475"/>
      <c r="M184" s="475"/>
      <c r="N184" s="476"/>
      <c r="O184" s="476"/>
      <c r="P184" s="476"/>
      <c r="Q184" s="476"/>
      <c r="R184" s="455"/>
      <c r="S184" s="455"/>
      <c r="T184" s="455"/>
      <c r="U184" s="455"/>
      <c r="V184" s="455"/>
      <c r="W184" s="455"/>
      <c r="X184" s="455"/>
      <c r="Y184" s="455"/>
      <c r="Z184" s="455"/>
      <c r="AA184" s="455"/>
      <c r="AB184" s="455"/>
    </row>
    <row r="185" spans="2:28" s="439" customFormat="1" ht="10.5">
      <c r="B185" s="424"/>
      <c r="C185" s="424"/>
      <c r="D185" s="424"/>
      <c r="E185" s="424"/>
      <c r="F185" s="424"/>
      <c r="G185" s="424"/>
      <c r="H185" s="475"/>
      <c r="I185" s="475"/>
      <c r="J185" s="475"/>
      <c r="K185" s="475"/>
      <c r="L185" s="475"/>
      <c r="M185" s="475"/>
      <c r="N185" s="476"/>
      <c r="O185" s="476"/>
      <c r="P185" s="476"/>
      <c r="Q185" s="476"/>
      <c r="R185" s="455"/>
      <c r="S185" s="455"/>
      <c r="T185" s="455"/>
      <c r="U185" s="455"/>
      <c r="V185" s="455"/>
      <c r="W185" s="455"/>
      <c r="X185" s="455"/>
      <c r="Y185" s="455"/>
      <c r="Z185" s="455"/>
      <c r="AA185" s="455"/>
      <c r="AB185" s="455"/>
    </row>
    <row r="186" spans="2:28" s="439" customFormat="1" ht="10.5">
      <c r="B186" s="424"/>
      <c r="C186" s="424"/>
      <c r="D186" s="424"/>
      <c r="E186" s="424"/>
      <c r="F186" s="424"/>
      <c r="G186" s="424"/>
      <c r="H186" s="475"/>
      <c r="I186" s="475"/>
      <c r="J186" s="475"/>
      <c r="K186" s="475"/>
      <c r="L186" s="475"/>
      <c r="M186" s="475"/>
      <c r="N186" s="476"/>
      <c r="O186" s="476"/>
      <c r="P186" s="476"/>
      <c r="Q186" s="476"/>
      <c r="R186" s="455"/>
      <c r="S186" s="455"/>
      <c r="T186" s="455"/>
      <c r="U186" s="455"/>
      <c r="V186" s="455"/>
      <c r="W186" s="455"/>
      <c r="X186" s="455"/>
      <c r="Y186" s="455"/>
      <c r="Z186" s="455"/>
      <c r="AA186" s="455"/>
      <c r="AB186" s="455"/>
    </row>
    <row r="187" spans="2:28" s="439" customFormat="1" ht="10.5">
      <c r="B187" s="424"/>
      <c r="C187" s="424"/>
      <c r="D187" s="424"/>
      <c r="E187" s="424"/>
      <c r="F187" s="424"/>
      <c r="G187" s="424"/>
      <c r="H187" s="475"/>
      <c r="I187" s="475"/>
      <c r="J187" s="475"/>
      <c r="K187" s="475"/>
      <c r="L187" s="475"/>
      <c r="M187" s="475"/>
      <c r="N187" s="476"/>
      <c r="O187" s="476"/>
      <c r="P187" s="476"/>
      <c r="Q187" s="476"/>
      <c r="R187" s="455"/>
      <c r="S187" s="455"/>
      <c r="T187" s="455"/>
      <c r="U187" s="455"/>
      <c r="V187" s="455"/>
      <c r="W187" s="455"/>
      <c r="X187" s="455"/>
      <c r="Y187" s="455"/>
      <c r="Z187" s="455"/>
      <c r="AA187" s="455"/>
      <c r="AB187" s="455"/>
    </row>
    <row r="188" spans="2:28" s="439" customFormat="1" ht="10.5">
      <c r="B188" s="424"/>
      <c r="C188" s="424"/>
      <c r="D188" s="424"/>
      <c r="E188" s="424"/>
      <c r="F188" s="424"/>
      <c r="G188" s="424"/>
      <c r="H188" s="475"/>
      <c r="I188" s="475"/>
      <c r="J188" s="475"/>
      <c r="K188" s="475"/>
      <c r="L188" s="475"/>
      <c r="M188" s="475"/>
      <c r="N188" s="476"/>
      <c r="O188" s="476"/>
      <c r="P188" s="476"/>
      <c r="Q188" s="476"/>
      <c r="R188" s="455"/>
      <c r="S188" s="455"/>
      <c r="T188" s="455"/>
      <c r="U188" s="455"/>
      <c r="V188" s="455"/>
      <c r="W188" s="455"/>
      <c r="X188" s="455"/>
      <c r="Y188" s="455"/>
      <c r="Z188" s="455"/>
      <c r="AA188" s="455"/>
      <c r="AB188" s="455"/>
    </row>
    <row r="189" spans="2:28" s="439" customFormat="1" ht="10.5">
      <c r="B189" s="424"/>
      <c r="C189" s="424"/>
      <c r="D189" s="424"/>
      <c r="E189" s="424"/>
      <c r="F189" s="424"/>
      <c r="G189" s="424"/>
      <c r="H189" s="475"/>
      <c r="I189" s="475"/>
      <c r="J189" s="475"/>
      <c r="K189" s="475"/>
      <c r="L189" s="475"/>
      <c r="M189" s="475"/>
      <c r="N189" s="476"/>
      <c r="O189" s="476"/>
      <c r="P189" s="476"/>
      <c r="Q189" s="476"/>
      <c r="R189" s="455"/>
      <c r="S189" s="455"/>
      <c r="T189" s="455"/>
      <c r="U189" s="455"/>
      <c r="V189" s="455"/>
      <c r="W189" s="455"/>
      <c r="X189" s="455"/>
      <c r="Y189" s="455"/>
      <c r="Z189" s="455"/>
      <c r="AA189" s="455"/>
      <c r="AB189" s="455"/>
    </row>
    <row r="190" spans="2:28" s="439" customFormat="1" ht="10.5">
      <c r="B190" s="424"/>
      <c r="C190" s="424"/>
      <c r="D190" s="424"/>
      <c r="E190" s="424"/>
      <c r="F190" s="424"/>
      <c r="G190" s="424"/>
      <c r="H190" s="475"/>
      <c r="I190" s="475"/>
      <c r="J190" s="475"/>
      <c r="K190" s="475"/>
      <c r="L190" s="475"/>
      <c r="M190" s="475"/>
      <c r="N190" s="476"/>
      <c r="O190" s="476"/>
      <c r="P190" s="476"/>
      <c r="Q190" s="476"/>
      <c r="R190" s="455"/>
      <c r="S190" s="455"/>
      <c r="T190" s="455"/>
      <c r="U190" s="455"/>
      <c r="V190" s="455"/>
      <c r="W190" s="455"/>
      <c r="X190" s="455"/>
      <c r="Y190" s="455"/>
      <c r="Z190" s="455"/>
      <c r="AA190" s="455"/>
      <c r="AB190" s="455"/>
    </row>
    <row r="191" spans="2:28" s="439" customFormat="1" ht="10.5">
      <c r="B191" s="424"/>
      <c r="C191" s="424"/>
      <c r="D191" s="424"/>
      <c r="E191" s="424"/>
      <c r="F191" s="424"/>
      <c r="G191" s="424"/>
      <c r="H191" s="475"/>
      <c r="I191" s="475"/>
      <c r="J191" s="475"/>
      <c r="K191" s="475"/>
      <c r="L191" s="475"/>
      <c r="M191" s="475"/>
      <c r="N191" s="476"/>
      <c r="O191" s="476"/>
      <c r="P191" s="476"/>
      <c r="Q191" s="476"/>
      <c r="R191" s="455"/>
      <c r="S191" s="455"/>
      <c r="T191" s="455"/>
      <c r="U191" s="455"/>
      <c r="V191" s="455"/>
      <c r="W191" s="455"/>
      <c r="X191" s="455"/>
      <c r="Y191" s="455"/>
      <c r="Z191" s="455"/>
      <c r="AA191" s="455"/>
      <c r="AB191" s="455"/>
    </row>
    <row r="192" spans="2:28" s="439" customFormat="1" ht="10.5">
      <c r="B192" s="424"/>
      <c r="C192" s="424"/>
      <c r="D192" s="424"/>
      <c r="E192" s="424"/>
      <c r="F192" s="424"/>
      <c r="G192" s="424"/>
      <c r="H192" s="475"/>
      <c r="I192" s="475"/>
      <c r="J192" s="475"/>
      <c r="K192" s="475"/>
      <c r="L192" s="475"/>
      <c r="M192" s="475"/>
      <c r="N192" s="476"/>
      <c r="O192" s="476"/>
      <c r="P192" s="476"/>
      <c r="Q192" s="476"/>
      <c r="R192" s="455"/>
      <c r="S192" s="455"/>
      <c r="T192" s="455"/>
      <c r="U192" s="455"/>
      <c r="V192" s="455"/>
      <c r="W192" s="455"/>
      <c r="X192" s="455"/>
      <c r="Y192" s="455"/>
      <c r="Z192" s="455"/>
      <c r="AA192" s="455"/>
      <c r="AB192" s="455"/>
    </row>
    <row r="193" spans="2:28" s="439" customFormat="1" ht="10.5">
      <c r="B193" s="424"/>
      <c r="C193" s="424"/>
      <c r="D193" s="424"/>
      <c r="E193" s="424"/>
      <c r="F193" s="424"/>
      <c r="G193" s="424"/>
      <c r="H193" s="475"/>
      <c r="I193" s="475"/>
      <c r="J193" s="475"/>
      <c r="K193" s="475"/>
      <c r="L193" s="475"/>
      <c r="M193" s="475"/>
      <c r="N193" s="476"/>
      <c r="O193" s="476"/>
      <c r="P193" s="476"/>
      <c r="Q193" s="476"/>
      <c r="R193" s="455"/>
      <c r="S193" s="455"/>
      <c r="T193" s="455"/>
      <c r="U193" s="455"/>
      <c r="V193" s="455"/>
      <c r="W193" s="455"/>
      <c r="X193" s="455"/>
      <c r="Y193" s="455"/>
      <c r="Z193" s="455"/>
      <c r="AA193" s="455"/>
      <c r="AB193" s="455"/>
    </row>
    <row r="194" spans="2:28" s="439" customFormat="1" ht="10.5">
      <c r="B194" s="424"/>
      <c r="C194" s="424"/>
      <c r="D194" s="424"/>
      <c r="E194" s="424"/>
      <c r="F194" s="424"/>
      <c r="G194" s="424"/>
      <c r="H194" s="475"/>
      <c r="I194" s="475"/>
      <c r="J194" s="475"/>
      <c r="K194" s="475"/>
      <c r="L194" s="475"/>
      <c r="M194" s="475"/>
      <c r="N194" s="476"/>
      <c r="O194" s="476"/>
      <c r="P194" s="476"/>
      <c r="Q194" s="476"/>
      <c r="R194" s="455"/>
      <c r="S194" s="455"/>
      <c r="T194" s="455"/>
      <c r="U194" s="455"/>
      <c r="V194" s="455"/>
      <c r="W194" s="455"/>
      <c r="X194" s="455"/>
      <c r="Y194" s="455"/>
      <c r="Z194" s="455"/>
      <c r="AA194" s="455"/>
      <c r="AB194" s="455"/>
    </row>
    <row r="195" spans="2:28" s="439" customFormat="1" ht="10.5">
      <c r="B195" s="424"/>
      <c r="C195" s="424"/>
      <c r="D195" s="424"/>
      <c r="E195" s="424"/>
      <c r="F195" s="424"/>
      <c r="G195" s="424"/>
      <c r="H195" s="475"/>
      <c r="I195" s="475"/>
      <c r="J195" s="475"/>
      <c r="K195" s="475"/>
      <c r="L195" s="475"/>
      <c r="M195" s="475"/>
      <c r="N195" s="476"/>
      <c r="O195" s="476"/>
      <c r="P195" s="476"/>
      <c r="Q195" s="476"/>
      <c r="R195" s="455"/>
      <c r="S195" s="455"/>
      <c r="T195" s="455"/>
      <c r="U195" s="455"/>
      <c r="V195" s="455"/>
      <c r="W195" s="455"/>
      <c r="X195" s="455"/>
      <c r="Y195" s="455"/>
      <c r="Z195" s="455"/>
      <c r="AA195" s="455"/>
      <c r="AB195" s="455"/>
    </row>
    <row r="196" spans="2:28" s="439" customFormat="1" ht="10.5">
      <c r="B196" s="424"/>
      <c r="C196" s="424"/>
      <c r="D196" s="424"/>
      <c r="E196" s="424"/>
      <c r="F196" s="424"/>
      <c r="G196" s="424"/>
      <c r="H196" s="475"/>
      <c r="I196" s="475"/>
      <c r="J196" s="475"/>
      <c r="K196" s="475"/>
      <c r="L196" s="475"/>
      <c r="M196" s="475"/>
      <c r="N196" s="476"/>
      <c r="O196" s="476"/>
      <c r="P196" s="476"/>
      <c r="Q196" s="476"/>
      <c r="R196" s="455"/>
      <c r="S196" s="455"/>
      <c r="T196" s="455"/>
      <c r="U196" s="455"/>
      <c r="V196" s="455"/>
      <c r="W196" s="455"/>
      <c r="X196" s="455"/>
      <c r="Y196" s="455"/>
      <c r="Z196" s="455"/>
      <c r="AA196" s="455"/>
      <c r="AB196" s="455"/>
    </row>
    <row r="197" spans="2:28" s="439" customFormat="1" ht="10.5">
      <c r="B197" s="424"/>
      <c r="C197" s="424"/>
      <c r="D197" s="424"/>
      <c r="E197" s="424"/>
      <c r="F197" s="424"/>
      <c r="G197" s="424"/>
      <c r="H197" s="475"/>
      <c r="I197" s="475"/>
      <c r="J197" s="475"/>
      <c r="K197" s="475"/>
      <c r="L197" s="475"/>
      <c r="M197" s="475"/>
      <c r="N197" s="476"/>
      <c r="O197" s="476"/>
      <c r="P197" s="476"/>
      <c r="Q197" s="476"/>
      <c r="R197" s="455"/>
      <c r="S197" s="455"/>
      <c r="T197" s="455"/>
      <c r="U197" s="455"/>
      <c r="V197" s="455"/>
      <c r="W197" s="455"/>
      <c r="X197" s="455"/>
      <c r="Y197" s="455"/>
      <c r="Z197" s="455"/>
      <c r="AA197" s="455"/>
      <c r="AB197" s="455"/>
    </row>
    <row r="198" spans="2:28" s="439" customFormat="1" ht="10.5">
      <c r="B198" s="424"/>
      <c r="C198" s="424"/>
      <c r="D198" s="424"/>
      <c r="E198" s="424"/>
      <c r="F198" s="424"/>
      <c r="G198" s="424"/>
      <c r="H198" s="475"/>
      <c r="I198" s="475"/>
      <c r="J198" s="475"/>
      <c r="K198" s="475"/>
      <c r="L198" s="475"/>
      <c r="M198" s="475"/>
      <c r="N198" s="476"/>
      <c r="O198" s="476"/>
      <c r="P198" s="476"/>
      <c r="Q198" s="476"/>
      <c r="R198" s="455"/>
      <c r="S198" s="455"/>
      <c r="T198" s="455"/>
      <c r="U198" s="455"/>
      <c r="V198" s="455"/>
      <c r="W198" s="455"/>
      <c r="X198" s="455"/>
      <c r="Y198" s="455"/>
      <c r="Z198" s="455"/>
      <c r="AA198" s="455"/>
      <c r="AB198" s="455"/>
    </row>
    <row r="199" spans="2:28" s="439" customFormat="1" ht="10.5">
      <c r="B199" s="424"/>
      <c r="C199" s="424"/>
      <c r="D199" s="424"/>
      <c r="E199" s="424"/>
      <c r="F199" s="424"/>
      <c r="G199" s="424"/>
      <c r="H199" s="475"/>
      <c r="I199" s="475"/>
      <c r="J199" s="475"/>
      <c r="K199" s="475"/>
      <c r="L199" s="475"/>
      <c r="M199" s="475"/>
      <c r="N199" s="476"/>
      <c r="O199" s="476"/>
      <c r="P199" s="476"/>
      <c r="Q199" s="476"/>
      <c r="R199" s="455"/>
      <c r="S199" s="455"/>
      <c r="T199" s="455"/>
      <c r="U199" s="455"/>
      <c r="V199" s="455"/>
      <c r="W199" s="455"/>
      <c r="X199" s="455"/>
      <c r="Y199" s="455"/>
      <c r="Z199" s="455"/>
      <c r="AA199" s="455"/>
      <c r="AB199" s="455"/>
    </row>
    <row r="200" spans="2:28" s="439" customFormat="1" ht="10.5">
      <c r="B200" s="424"/>
      <c r="C200" s="424"/>
      <c r="D200" s="424"/>
      <c r="E200" s="424"/>
      <c r="F200" s="424"/>
      <c r="G200" s="424"/>
      <c r="H200" s="475"/>
      <c r="I200" s="475"/>
      <c r="J200" s="475"/>
      <c r="K200" s="475"/>
      <c r="L200" s="475"/>
      <c r="M200" s="475"/>
      <c r="N200" s="476"/>
      <c r="O200" s="476"/>
      <c r="P200" s="476"/>
      <c r="Q200" s="476"/>
      <c r="R200" s="455"/>
      <c r="S200" s="455"/>
      <c r="T200" s="455"/>
      <c r="U200" s="455"/>
      <c r="V200" s="455"/>
      <c r="W200" s="455"/>
      <c r="X200" s="455"/>
      <c r="Y200" s="455"/>
      <c r="Z200" s="455"/>
      <c r="AA200" s="455"/>
      <c r="AB200" s="455"/>
    </row>
    <row r="201" spans="2:28" s="439" customFormat="1" ht="10.5">
      <c r="B201" s="424"/>
      <c r="C201" s="424"/>
      <c r="D201" s="424"/>
      <c r="E201" s="424"/>
      <c r="F201" s="424"/>
      <c r="G201" s="424"/>
      <c r="H201" s="475"/>
      <c r="I201" s="475"/>
      <c r="J201" s="475"/>
      <c r="K201" s="475"/>
      <c r="L201" s="475"/>
      <c r="M201" s="475"/>
      <c r="N201" s="476"/>
      <c r="O201" s="476"/>
      <c r="P201" s="476"/>
      <c r="Q201" s="476"/>
      <c r="R201" s="455"/>
      <c r="S201" s="455"/>
      <c r="T201" s="455"/>
      <c r="U201" s="455"/>
      <c r="V201" s="455"/>
      <c r="W201" s="455"/>
      <c r="X201" s="455"/>
      <c r="Y201" s="455"/>
      <c r="Z201" s="455"/>
      <c r="AA201" s="455"/>
      <c r="AB201" s="455"/>
    </row>
    <row r="202" spans="2:28" s="439" customFormat="1" ht="10.5">
      <c r="B202" s="424"/>
      <c r="C202" s="424"/>
      <c r="D202" s="424"/>
      <c r="E202" s="424"/>
      <c r="F202" s="424"/>
      <c r="G202" s="424"/>
      <c r="H202" s="475"/>
      <c r="I202" s="475"/>
      <c r="J202" s="475"/>
      <c r="K202" s="475"/>
      <c r="L202" s="475"/>
      <c r="M202" s="475"/>
      <c r="N202" s="476"/>
      <c r="O202" s="476"/>
      <c r="P202" s="476"/>
      <c r="Q202" s="476"/>
      <c r="R202" s="455"/>
      <c r="S202" s="455"/>
      <c r="T202" s="455"/>
      <c r="U202" s="455"/>
      <c r="V202" s="455"/>
      <c r="W202" s="455"/>
      <c r="X202" s="455"/>
      <c r="Y202" s="455"/>
      <c r="Z202" s="455"/>
      <c r="AA202" s="455"/>
      <c r="AB202" s="455"/>
    </row>
    <row r="203" spans="2:28" s="439" customFormat="1" ht="10.5">
      <c r="B203" s="424"/>
      <c r="C203" s="424"/>
      <c r="D203" s="424"/>
      <c r="E203" s="424"/>
      <c r="F203" s="424"/>
      <c r="G203" s="424"/>
      <c r="H203" s="475"/>
      <c r="I203" s="475"/>
      <c r="J203" s="475"/>
      <c r="K203" s="475"/>
      <c r="L203" s="475"/>
      <c r="M203" s="475"/>
      <c r="N203" s="476"/>
      <c r="O203" s="476"/>
      <c r="P203" s="476"/>
      <c r="Q203" s="476"/>
      <c r="R203" s="455"/>
      <c r="S203" s="455"/>
      <c r="T203" s="455"/>
      <c r="U203" s="455"/>
      <c r="V203" s="455"/>
      <c r="W203" s="455"/>
      <c r="X203" s="455"/>
      <c r="Y203" s="455"/>
      <c r="Z203" s="455"/>
      <c r="AA203" s="455"/>
      <c r="AB203" s="455"/>
    </row>
    <row r="204" spans="2:28" s="439" customFormat="1" ht="10.5">
      <c r="B204" s="424"/>
      <c r="C204" s="424"/>
      <c r="D204" s="424"/>
      <c r="E204" s="424"/>
      <c r="F204" s="424"/>
      <c r="G204" s="424"/>
      <c r="H204" s="475"/>
      <c r="I204" s="475"/>
      <c r="J204" s="475"/>
      <c r="K204" s="475"/>
      <c r="L204" s="475"/>
      <c r="M204" s="475"/>
      <c r="N204" s="476"/>
      <c r="O204" s="476"/>
      <c r="P204" s="476"/>
      <c r="Q204" s="476"/>
      <c r="R204" s="455"/>
      <c r="S204" s="455"/>
      <c r="T204" s="455"/>
      <c r="U204" s="455"/>
      <c r="V204" s="455"/>
      <c r="W204" s="455"/>
      <c r="X204" s="455"/>
      <c r="Y204" s="455"/>
      <c r="Z204" s="455"/>
      <c r="AA204" s="455"/>
      <c r="AB204" s="455"/>
    </row>
    <row r="205" spans="2:28" s="439" customFormat="1" ht="10.5">
      <c r="B205" s="424"/>
      <c r="C205" s="424"/>
      <c r="D205" s="424"/>
      <c r="E205" s="424"/>
      <c r="F205" s="424"/>
      <c r="G205" s="424"/>
      <c r="H205" s="475"/>
      <c r="I205" s="475"/>
      <c r="J205" s="475"/>
      <c r="K205" s="475"/>
      <c r="L205" s="475"/>
      <c r="M205" s="475"/>
      <c r="N205" s="476"/>
      <c r="O205" s="476"/>
      <c r="P205" s="476"/>
      <c r="Q205" s="476"/>
      <c r="R205" s="455"/>
      <c r="S205" s="455"/>
      <c r="T205" s="455"/>
      <c r="U205" s="455"/>
      <c r="V205" s="455"/>
      <c r="W205" s="455"/>
      <c r="X205" s="455"/>
      <c r="Y205" s="455"/>
      <c r="Z205" s="455"/>
      <c r="AA205" s="455"/>
      <c r="AB205" s="455"/>
    </row>
    <row r="206" spans="2:28" s="439" customFormat="1" ht="10.5">
      <c r="B206" s="424"/>
      <c r="C206" s="424"/>
      <c r="D206" s="424"/>
      <c r="E206" s="424"/>
      <c r="F206" s="424"/>
      <c r="G206" s="424"/>
      <c r="H206" s="475"/>
      <c r="I206" s="475"/>
      <c r="J206" s="475"/>
      <c r="K206" s="475"/>
      <c r="L206" s="475"/>
      <c r="M206" s="475"/>
      <c r="N206" s="476"/>
      <c r="O206" s="476"/>
      <c r="P206" s="476"/>
      <c r="Q206" s="476"/>
      <c r="R206" s="455"/>
      <c r="S206" s="455"/>
      <c r="T206" s="455"/>
      <c r="U206" s="455"/>
      <c r="V206" s="455"/>
      <c r="W206" s="455"/>
      <c r="X206" s="455"/>
      <c r="Y206" s="455"/>
      <c r="Z206" s="455"/>
      <c r="AA206" s="455"/>
      <c r="AB206" s="455"/>
    </row>
    <row r="207" spans="2:28" s="439" customFormat="1" ht="10.5">
      <c r="B207" s="424"/>
      <c r="C207" s="424"/>
      <c r="D207" s="424"/>
      <c r="E207" s="424"/>
      <c r="F207" s="424"/>
      <c r="G207" s="424"/>
      <c r="H207" s="475"/>
      <c r="I207" s="475"/>
      <c r="J207" s="475"/>
      <c r="K207" s="475"/>
      <c r="L207" s="475"/>
      <c r="M207" s="475"/>
      <c r="N207" s="476"/>
      <c r="O207" s="476"/>
      <c r="P207" s="476"/>
      <c r="Q207" s="476"/>
      <c r="R207" s="455"/>
      <c r="S207" s="455"/>
      <c r="T207" s="455"/>
      <c r="U207" s="455"/>
      <c r="V207" s="455"/>
      <c r="W207" s="455"/>
      <c r="X207" s="455"/>
      <c r="Y207" s="455"/>
      <c r="Z207" s="455"/>
      <c r="AA207" s="455"/>
      <c r="AB207" s="455"/>
    </row>
    <row r="208" spans="2:28" s="439" customFormat="1" ht="10.5">
      <c r="B208" s="424"/>
      <c r="C208" s="424"/>
      <c r="D208" s="424"/>
      <c r="E208" s="424"/>
      <c r="F208" s="424"/>
      <c r="G208" s="424"/>
      <c r="H208" s="475"/>
      <c r="I208" s="475"/>
      <c r="J208" s="475"/>
      <c r="K208" s="475"/>
      <c r="L208" s="475"/>
      <c r="M208" s="475"/>
      <c r="N208" s="476"/>
      <c r="O208" s="476"/>
      <c r="P208" s="476"/>
      <c r="Q208" s="476"/>
      <c r="R208" s="455"/>
      <c r="S208" s="455"/>
      <c r="T208" s="455"/>
      <c r="U208" s="455"/>
      <c r="V208" s="455"/>
      <c r="W208" s="455"/>
      <c r="X208" s="455"/>
      <c r="Y208" s="455"/>
      <c r="Z208" s="455"/>
      <c r="AA208" s="455"/>
      <c r="AB208" s="455"/>
    </row>
    <row r="209" spans="2:28" s="439" customFormat="1" ht="10.5">
      <c r="B209" s="424"/>
      <c r="C209" s="424"/>
      <c r="D209" s="424"/>
      <c r="E209" s="424"/>
      <c r="F209" s="424"/>
      <c r="G209" s="424"/>
      <c r="H209" s="475"/>
      <c r="I209" s="475"/>
      <c r="J209" s="475"/>
      <c r="K209" s="475"/>
      <c r="L209" s="475"/>
      <c r="M209" s="475"/>
      <c r="N209" s="476"/>
      <c r="O209" s="476"/>
      <c r="P209" s="476"/>
      <c r="Q209" s="476"/>
      <c r="R209" s="455"/>
      <c r="S209" s="455"/>
      <c r="T209" s="455"/>
      <c r="U209" s="455"/>
      <c r="V209" s="455"/>
      <c r="W209" s="455"/>
      <c r="X209" s="455"/>
      <c r="Y209" s="455"/>
      <c r="Z209" s="455"/>
      <c r="AA209" s="455"/>
      <c r="AB209" s="455"/>
    </row>
    <row r="210" spans="2:28" s="439" customFormat="1" ht="10.5">
      <c r="B210" s="424"/>
      <c r="C210" s="424"/>
      <c r="D210" s="424"/>
      <c r="E210" s="424"/>
      <c r="F210" s="424"/>
      <c r="G210" s="424"/>
      <c r="H210" s="475"/>
      <c r="I210" s="475"/>
      <c r="J210" s="475"/>
      <c r="K210" s="475"/>
      <c r="L210" s="475"/>
      <c r="M210" s="475"/>
      <c r="N210" s="476"/>
      <c r="O210" s="476"/>
      <c r="P210" s="476"/>
      <c r="Q210" s="476"/>
      <c r="R210" s="455"/>
      <c r="S210" s="455"/>
      <c r="T210" s="455"/>
      <c r="U210" s="455"/>
      <c r="V210" s="455"/>
      <c r="W210" s="455"/>
      <c r="X210" s="455"/>
      <c r="Y210" s="455"/>
      <c r="Z210" s="455"/>
      <c r="AA210" s="455"/>
      <c r="AB210" s="455"/>
    </row>
    <row r="211" spans="2:28" s="439" customFormat="1" ht="10.5">
      <c r="B211" s="424"/>
      <c r="C211" s="424"/>
      <c r="D211" s="424"/>
      <c r="E211" s="424"/>
      <c r="F211" s="424"/>
      <c r="G211" s="424"/>
      <c r="H211" s="475"/>
      <c r="I211" s="475"/>
      <c r="J211" s="475"/>
      <c r="K211" s="475"/>
      <c r="L211" s="475"/>
      <c r="M211" s="475"/>
      <c r="N211" s="476"/>
      <c r="O211" s="476"/>
      <c r="P211" s="476"/>
      <c r="Q211" s="476"/>
      <c r="R211" s="455"/>
      <c r="S211" s="455"/>
      <c r="T211" s="455"/>
      <c r="U211" s="455"/>
      <c r="V211" s="455"/>
      <c r="W211" s="455"/>
      <c r="X211" s="455"/>
      <c r="Y211" s="455"/>
      <c r="Z211" s="455"/>
      <c r="AA211" s="455"/>
      <c r="AB211" s="455"/>
    </row>
    <row r="212" spans="2:28" s="439" customFormat="1" ht="10.5">
      <c r="B212" s="424"/>
      <c r="C212" s="424"/>
      <c r="D212" s="424"/>
      <c r="E212" s="424"/>
      <c r="F212" s="424"/>
      <c r="G212" s="424"/>
      <c r="H212" s="475"/>
      <c r="I212" s="475"/>
      <c r="J212" s="475"/>
      <c r="K212" s="475"/>
      <c r="L212" s="475"/>
      <c r="M212" s="475"/>
      <c r="N212" s="476"/>
      <c r="O212" s="476"/>
      <c r="P212" s="476"/>
      <c r="Q212" s="476"/>
      <c r="R212" s="455"/>
      <c r="S212" s="455"/>
      <c r="T212" s="455"/>
      <c r="U212" s="455"/>
      <c r="V212" s="455"/>
      <c r="W212" s="455"/>
      <c r="X212" s="455"/>
      <c r="Y212" s="455"/>
      <c r="Z212" s="455"/>
      <c r="AA212" s="455"/>
      <c r="AB212" s="455"/>
    </row>
    <row r="213" spans="2:28" s="439" customFormat="1" ht="10.5">
      <c r="B213" s="424"/>
      <c r="C213" s="424"/>
      <c r="D213" s="424"/>
      <c r="E213" s="424"/>
      <c r="F213" s="424"/>
      <c r="G213" s="424"/>
      <c r="H213" s="475"/>
      <c r="I213" s="475"/>
      <c r="J213" s="475"/>
      <c r="K213" s="475"/>
      <c r="L213" s="475"/>
      <c r="M213" s="475"/>
      <c r="N213" s="476"/>
      <c r="O213" s="476"/>
      <c r="P213" s="476"/>
      <c r="Q213" s="476"/>
      <c r="R213" s="455"/>
      <c r="S213" s="455"/>
      <c r="T213" s="455"/>
      <c r="U213" s="455"/>
      <c r="V213" s="455"/>
      <c r="W213" s="455"/>
      <c r="X213" s="455"/>
      <c r="Y213" s="455"/>
      <c r="Z213" s="455"/>
      <c r="AA213" s="455"/>
      <c r="AB213" s="455"/>
    </row>
    <row r="214" spans="2:28" s="439" customFormat="1" ht="10.5">
      <c r="B214" s="424"/>
      <c r="C214" s="424"/>
      <c r="D214" s="424"/>
      <c r="E214" s="424"/>
      <c r="F214" s="424"/>
      <c r="G214" s="424"/>
      <c r="H214" s="475"/>
      <c r="I214" s="475"/>
      <c r="J214" s="475"/>
      <c r="K214" s="475"/>
      <c r="L214" s="475"/>
      <c r="M214" s="475"/>
      <c r="N214" s="476"/>
      <c r="O214" s="476"/>
      <c r="P214" s="476"/>
      <c r="Q214" s="476"/>
      <c r="R214" s="455"/>
      <c r="S214" s="455"/>
      <c r="T214" s="455"/>
      <c r="U214" s="455"/>
      <c r="V214" s="455"/>
      <c r="W214" s="455"/>
      <c r="X214" s="455"/>
      <c r="Y214" s="455"/>
      <c r="Z214" s="455"/>
      <c r="AA214" s="455"/>
      <c r="AB214" s="455"/>
    </row>
    <row r="215" spans="2:28" s="439" customFormat="1" ht="10.5">
      <c r="B215" s="424"/>
      <c r="C215" s="424"/>
      <c r="D215" s="424"/>
      <c r="E215" s="424"/>
      <c r="F215" s="424"/>
      <c r="G215" s="424"/>
      <c r="H215" s="475"/>
      <c r="I215" s="475"/>
      <c r="J215" s="475"/>
      <c r="K215" s="475"/>
      <c r="L215" s="475"/>
      <c r="M215" s="475"/>
      <c r="N215" s="476"/>
      <c r="O215" s="476"/>
      <c r="P215" s="476"/>
      <c r="Q215" s="476"/>
      <c r="R215" s="455"/>
      <c r="S215" s="455"/>
      <c r="T215" s="455"/>
      <c r="U215" s="455"/>
      <c r="V215" s="455"/>
      <c r="W215" s="455"/>
      <c r="X215" s="455"/>
      <c r="Y215" s="455"/>
      <c r="Z215" s="455"/>
      <c r="AA215" s="455"/>
      <c r="AB215" s="455"/>
    </row>
    <row r="216" spans="2:28" s="439" customFormat="1" ht="10.5">
      <c r="B216" s="424"/>
      <c r="C216" s="424"/>
      <c r="D216" s="424"/>
      <c r="E216" s="424"/>
      <c r="F216" s="424"/>
      <c r="G216" s="424"/>
      <c r="H216" s="475"/>
      <c r="I216" s="475"/>
      <c r="J216" s="475"/>
      <c r="K216" s="475"/>
      <c r="L216" s="475"/>
      <c r="M216" s="475"/>
      <c r="N216" s="476"/>
      <c r="O216" s="476"/>
      <c r="P216" s="476"/>
      <c r="Q216" s="476"/>
      <c r="R216" s="455"/>
      <c r="S216" s="455"/>
      <c r="T216" s="455"/>
      <c r="U216" s="455"/>
      <c r="V216" s="455"/>
      <c r="W216" s="455"/>
      <c r="X216" s="455"/>
      <c r="Y216" s="455"/>
      <c r="Z216" s="455"/>
      <c r="AA216" s="455"/>
      <c r="AB216" s="455"/>
    </row>
    <row r="217" spans="2:28" s="439" customFormat="1" ht="10.5">
      <c r="B217" s="424"/>
      <c r="C217" s="424"/>
      <c r="D217" s="424"/>
      <c r="E217" s="424"/>
      <c r="F217" s="424"/>
      <c r="G217" s="424"/>
      <c r="H217" s="475"/>
      <c r="I217" s="475"/>
      <c r="J217" s="475"/>
      <c r="K217" s="475"/>
      <c r="L217" s="475"/>
      <c r="M217" s="475"/>
      <c r="N217" s="476"/>
      <c r="O217" s="476"/>
      <c r="P217" s="476"/>
      <c r="Q217" s="476"/>
      <c r="R217" s="455"/>
      <c r="S217" s="455"/>
      <c r="T217" s="455"/>
      <c r="U217" s="455"/>
      <c r="V217" s="455"/>
      <c r="W217" s="455"/>
      <c r="X217" s="455"/>
      <c r="Y217" s="455"/>
      <c r="Z217" s="455"/>
      <c r="AA217" s="455"/>
      <c r="AB217" s="455"/>
    </row>
    <row r="218" spans="2:28" s="439" customFormat="1" ht="10.5">
      <c r="B218" s="424"/>
      <c r="C218" s="424"/>
      <c r="D218" s="424"/>
      <c r="E218" s="424"/>
      <c r="F218" s="424"/>
      <c r="G218" s="424"/>
      <c r="H218" s="475"/>
      <c r="I218" s="475"/>
      <c r="J218" s="475"/>
      <c r="K218" s="475"/>
      <c r="L218" s="475"/>
      <c r="M218" s="475"/>
      <c r="N218" s="476"/>
      <c r="O218" s="476"/>
      <c r="P218" s="476"/>
      <c r="Q218" s="476"/>
      <c r="R218" s="455"/>
      <c r="S218" s="455"/>
      <c r="T218" s="455"/>
      <c r="U218" s="455"/>
      <c r="V218" s="455"/>
      <c r="W218" s="455"/>
      <c r="X218" s="455"/>
      <c r="Y218" s="455"/>
      <c r="Z218" s="455"/>
      <c r="AA218" s="455"/>
      <c r="AB218" s="455"/>
    </row>
    <row r="219" spans="2:28" s="439" customFormat="1" ht="10.5">
      <c r="B219" s="424"/>
      <c r="C219" s="424"/>
      <c r="D219" s="424"/>
      <c r="E219" s="424"/>
      <c r="F219" s="424"/>
      <c r="G219" s="424"/>
      <c r="H219" s="475"/>
      <c r="I219" s="475"/>
      <c r="J219" s="475"/>
      <c r="K219" s="475"/>
      <c r="L219" s="475"/>
      <c r="M219" s="475"/>
      <c r="N219" s="476"/>
      <c r="O219" s="476"/>
      <c r="P219" s="476"/>
      <c r="Q219" s="476"/>
      <c r="R219" s="455"/>
      <c r="S219" s="455"/>
      <c r="T219" s="455"/>
      <c r="U219" s="455"/>
      <c r="V219" s="455"/>
      <c r="W219" s="455"/>
      <c r="X219" s="455"/>
      <c r="Y219" s="455"/>
      <c r="Z219" s="455"/>
      <c r="AA219" s="455"/>
      <c r="AB219" s="455"/>
    </row>
    <row r="220" spans="2:28" s="439" customFormat="1" ht="10.5">
      <c r="H220" s="455"/>
      <c r="I220" s="455"/>
      <c r="J220" s="455"/>
      <c r="K220" s="455"/>
      <c r="L220" s="455"/>
      <c r="M220" s="455"/>
      <c r="N220" s="455"/>
      <c r="O220" s="455"/>
      <c r="P220" s="455"/>
      <c r="Q220" s="455"/>
      <c r="R220" s="455"/>
      <c r="S220" s="455"/>
      <c r="T220" s="455"/>
      <c r="U220" s="455"/>
      <c r="V220" s="455"/>
      <c r="W220" s="455"/>
      <c r="X220" s="455"/>
      <c r="Y220" s="455"/>
      <c r="Z220" s="455"/>
      <c r="AA220" s="455"/>
      <c r="AB220" s="455"/>
    </row>
    <row r="221" spans="2:28" s="439" customFormat="1" ht="10.5">
      <c r="H221" s="455"/>
      <c r="I221" s="455"/>
      <c r="J221" s="455"/>
      <c r="K221" s="455"/>
      <c r="L221" s="455"/>
      <c r="M221" s="455"/>
      <c r="N221" s="455"/>
      <c r="O221" s="455"/>
      <c r="P221" s="455"/>
      <c r="Q221" s="455"/>
      <c r="R221" s="455"/>
      <c r="S221" s="455"/>
      <c r="T221" s="455"/>
      <c r="U221" s="455"/>
      <c r="V221" s="455"/>
      <c r="W221" s="455"/>
      <c r="X221" s="455"/>
      <c r="Y221" s="455"/>
      <c r="Z221" s="455"/>
      <c r="AA221" s="455"/>
      <c r="AB221" s="455"/>
    </row>
    <row r="222" spans="2:28" s="439" customFormat="1" ht="10.5">
      <c r="H222" s="455"/>
      <c r="I222" s="455"/>
      <c r="J222" s="455"/>
      <c r="K222" s="455"/>
      <c r="L222" s="455"/>
      <c r="M222" s="455"/>
      <c r="N222" s="455"/>
      <c r="O222" s="455"/>
      <c r="P222" s="455"/>
      <c r="Q222" s="455"/>
      <c r="R222" s="455"/>
      <c r="S222" s="455"/>
      <c r="T222" s="455"/>
      <c r="U222" s="455"/>
      <c r="V222" s="455"/>
      <c r="W222" s="455"/>
      <c r="X222" s="455"/>
      <c r="Y222" s="455"/>
      <c r="Z222" s="455"/>
      <c r="AA222" s="455"/>
      <c r="AB222" s="455"/>
    </row>
    <row r="223" spans="2:28" s="439" customFormat="1" ht="10.5">
      <c r="H223" s="455"/>
      <c r="I223" s="455"/>
      <c r="J223" s="455"/>
      <c r="K223" s="455"/>
      <c r="L223" s="455"/>
      <c r="M223" s="455"/>
      <c r="N223" s="455"/>
      <c r="O223" s="455"/>
      <c r="P223" s="455"/>
      <c r="Q223" s="455"/>
      <c r="R223" s="455"/>
      <c r="S223" s="455"/>
      <c r="T223" s="455"/>
      <c r="U223" s="455"/>
      <c r="V223" s="455"/>
      <c r="W223" s="455"/>
      <c r="X223" s="455"/>
      <c r="Y223" s="455"/>
      <c r="Z223" s="455"/>
      <c r="AA223" s="455"/>
      <c r="AB223" s="455"/>
    </row>
    <row r="224" spans="2:28" s="439" customFormat="1" ht="10.5">
      <c r="H224" s="455"/>
      <c r="I224" s="455"/>
      <c r="J224" s="455"/>
      <c r="K224" s="455"/>
      <c r="L224" s="455"/>
      <c r="M224" s="455"/>
      <c r="N224" s="455"/>
      <c r="O224" s="455"/>
      <c r="P224" s="455"/>
      <c r="Q224" s="455"/>
      <c r="R224" s="455"/>
      <c r="S224" s="455"/>
      <c r="T224" s="455"/>
      <c r="U224" s="455"/>
      <c r="V224" s="455"/>
      <c r="W224" s="455"/>
      <c r="X224" s="455"/>
      <c r="Y224" s="455"/>
      <c r="Z224" s="455"/>
      <c r="AA224" s="455"/>
      <c r="AB224" s="455"/>
    </row>
    <row r="225" spans="8:28" s="439" customFormat="1" ht="10.5">
      <c r="H225" s="455"/>
      <c r="I225" s="455"/>
      <c r="J225" s="455"/>
      <c r="K225" s="455"/>
      <c r="L225" s="455"/>
      <c r="M225" s="455"/>
      <c r="N225" s="455"/>
      <c r="O225" s="455"/>
      <c r="P225" s="455"/>
      <c r="Q225" s="455"/>
      <c r="R225" s="455"/>
      <c r="S225" s="455"/>
      <c r="T225" s="455"/>
      <c r="U225" s="455"/>
      <c r="V225" s="455"/>
      <c r="W225" s="455"/>
      <c r="X225" s="455"/>
      <c r="Y225" s="455"/>
      <c r="Z225" s="455"/>
      <c r="AA225" s="455"/>
      <c r="AB225" s="455"/>
    </row>
    <row r="226" spans="8:28" s="439" customFormat="1" ht="10.5">
      <c r="H226" s="455"/>
      <c r="I226" s="455"/>
      <c r="J226" s="455"/>
      <c r="K226" s="455"/>
      <c r="L226" s="455"/>
      <c r="M226" s="455"/>
      <c r="N226" s="455"/>
      <c r="O226" s="455"/>
      <c r="P226" s="455"/>
      <c r="Q226" s="455"/>
      <c r="R226" s="455"/>
      <c r="S226" s="455"/>
      <c r="T226" s="455"/>
      <c r="U226" s="455"/>
      <c r="V226" s="455"/>
      <c r="W226" s="455"/>
      <c r="X226" s="455"/>
      <c r="Y226" s="455"/>
      <c r="Z226" s="455"/>
      <c r="AA226" s="455"/>
      <c r="AB226" s="455"/>
    </row>
    <row r="227" spans="8:28" s="439" customFormat="1" ht="10.5">
      <c r="H227" s="455"/>
      <c r="I227" s="455"/>
      <c r="J227" s="455"/>
      <c r="K227" s="455"/>
      <c r="L227" s="455"/>
      <c r="M227" s="455"/>
      <c r="N227" s="455"/>
      <c r="O227" s="455"/>
      <c r="P227" s="455"/>
      <c r="Q227" s="455"/>
      <c r="R227" s="455"/>
      <c r="S227" s="455"/>
      <c r="T227" s="455"/>
      <c r="U227" s="455"/>
      <c r="V227" s="455"/>
      <c r="W227" s="455"/>
      <c r="X227" s="455"/>
      <c r="Y227" s="455"/>
      <c r="Z227" s="455"/>
      <c r="AA227" s="455"/>
      <c r="AB227" s="455"/>
    </row>
    <row r="228" spans="8:28" s="439" customFormat="1" ht="10.5">
      <c r="H228" s="455"/>
      <c r="I228" s="455"/>
      <c r="J228" s="455"/>
      <c r="K228" s="455"/>
      <c r="L228" s="455"/>
      <c r="M228" s="455"/>
      <c r="N228" s="455"/>
      <c r="O228" s="455"/>
      <c r="P228" s="455"/>
      <c r="Q228" s="455"/>
      <c r="R228" s="455"/>
      <c r="S228" s="455"/>
      <c r="T228" s="455"/>
      <c r="U228" s="455"/>
      <c r="V228" s="455"/>
      <c r="W228" s="455"/>
      <c r="X228" s="455"/>
      <c r="Y228" s="455"/>
      <c r="Z228" s="455"/>
      <c r="AA228" s="455"/>
      <c r="AB228" s="455"/>
    </row>
    <row r="229" spans="8:28" s="439" customFormat="1" ht="10.5">
      <c r="H229" s="455"/>
      <c r="I229" s="455"/>
      <c r="J229" s="455"/>
      <c r="K229" s="455"/>
      <c r="L229" s="455"/>
      <c r="M229" s="455"/>
      <c r="N229" s="455"/>
      <c r="O229" s="455"/>
      <c r="P229" s="455"/>
      <c r="Q229" s="455"/>
      <c r="R229" s="455"/>
      <c r="S229" s="455"/>
      <c r="T229" s="455"/>
      <c r="U229" s="455"/>
      <c r="V229" s="455"/>
      <c r="W229" s="455"/>
      <c r="X229" s="455"/>
      <c r="Y229" s="455"/>
      <c r="Z229" s="455"/>
      <c r="AA229" s="455"/>
      <c r="AB229" s="455"/>
    </row>
    <row r="230" spans="8:28" s="439" customFormat="1" ht="10.5">
      <c r="H230" s="455"/>
      <c r="I230" s="455"/>
      <c r="J230" s="455"/>
      <c r="K230" s="455"/>
      <c r="L230" s="455"/>
      <c r="M230" s="455"/>
      <c r="N230" s="455"/>
      <c r="O230" s="455"/>
      <c r="P230" s="455"/>
      <c r="Q230" s="455"/>
      <c r="R230" s="455"/>
      <c r="S230" s="455"/>
      <c r="T230" s="455"/>
      <c r="U230" s="455"/>
      <c r="V230" s="455"/>
      <c r="W230" s="455"/>
      <c r="X230" s="455"/>
      <c r="Y230" s="455"/>
      <c r="Z230" s="455"/>
      <c r="AA230" s="455"/>
      <c r="AB230" s="455"/>
    </row>
    <row r="231" spans="8:28" s="439" customFormat="1" ht="10.5">
      <c r="H231" s="455"/>
      <c r="I231" s="455"/>
      <c r="J231" s="455"/>
      <c r="K231" s="455"/>
      <c r="L231" s="455"/>
      <c r="M231" s="455"/>
      <c r="N231" s="455"/>
      <c r="O231" s="455"/>
      <c r="P231" s="455"/>
      <c r="Q231" s="455"/>
      <c r="R231" s="455"/>
      <c r="S231" s="455"/>
      <c r="T231" s="455"/>
      <c r="U231" s="455"/>
      <c r="V231" s="455"/>
      <c r="W231" s="455"/>
      <c r="X231" s="455"/>
      <c r="Y231" s="455"/>
      <c r="Z231" s="455"/>
      <c r="AA231" s="455"/>
      <c r="AB231" s="455"/>
    </row>
    <row r="232" spans="8:28" s="439" customFormat="1" ht="10.5">
      <c r="H232" s="455"/>
      <c r="I232" s="455"/>
      <c r="J232" s="455"/>
      <c r="K232" s="455"/>
      <c r="L232" s="455"/>
      <c r="M232" s="455"/>
      <c r="N232" s="455"/>
      <c r="O232" s="455"/>
      <c r="P232" s="455"/>
      <c r="Q232" s="455"/>
      <c r="R232" s="455"/>
      <c r="S232" s="455"/>
      <c r="T232" s="455"/>
      <c r="U232" s="455"/>
      <c r="V232" s="455"/>
      <c r="W232" s="455"/>
      <c r="X232" s="455"/>
      <c r="Y232" s="455"/>
      <c r="Z232" s="455"/>
      <c r="AA232" s="455"/>
      <c r="AB232" s="455"/>
    </row>
    <row r="233" spans="8:28" s="439" customFormat="1" ht="10.5">
      <c r="H233" s="455"/>
      <c r="I233" s="455"/>
      <c r="J233" s="455"/>
      <c r="K233" s="455"/>
      <c r="L233" s="455"/>
      <c r="M233" s="455"/>
      <c r="N233" s="455"/>
      <c r="O233" s="455"/>
      <c r="P233" s="455"/>
      <c r="Q233" s="455"/>
      <c r="R233" s="455"/>
      <c r="S233" s="455"/>
      <c r="T233" s="455"/>
      <c r="U233" s="455"/>
      <c r="V233" s="455"/>
      <c r="W233" s="455"/>
      <c r="X233" s="455"/>
      <c r="Y233" s="455"/>
      <c r="Z233" s="455"/>
      <c r="AA233" s="455"/>
      <c r="AB233" s="455"/>
    </row>
    <row r="234" spans="8:28" s="439" customFormat="1" ht="10.5">
      <c r="H234" s="455"/>
      <c r="I234" s="455"/>
      <c r="J234" s="455"/>
      <c r="K234" s="455"/>
      <c r="L234" s="455"/>
      <c r="M234" s="455"/>
      <c r="N234" s="455"/>
      <c r="O234" s="455"/>
      <c r="P234" s="455"/>
      <c r="Q234" s="455"/>
      <c r="R234" s="455"/>
      <c r="S234" s="455"/>
      <c r="T234" s="455"/>
      <c r="U234" s="455"/>
      <c r="V234" s="455"/>
      <c r="W234" s="455"/>
      <c r="X234" s="455"/>
      <c r="Y234" s="455"/>
      <c r="Z234" s="455"/>
      <c r="AA234" s="455"/>
      <c r="AB234" s="455"/>
    </row>
    <row r="235" spans="8:28" s="439" customFormat="1" ht="10.5">
      <c r="H235" s="455"/>
      <c r="I235" s="455"/>
      <c r="J235" s="455"/>
      <c r="K235" s="455"/>
      <c r="L235" s="455"/>
      <c r="M235" s="455"/>
      <c r="N235" s="455"/>
      <c r="O235" s="455"/>
      <c r="P235" s="455"/>
      <c r="Q235" s="455"/>
      <c r="R235" s="455"/>
      <c r="S235" s="455"/>
      <c r="T235" s="455"/>
      <c r="U235" s="455"/>
      <c r="V235" s="455"/>
      <c r="W235" s="455"/>
      <c r="X235" s="455"/>
      <c r="Y235" s="455"/>
      <c r="Z235" s="455"/>
      <c r="AA235" s="455"/>
      <c r="AB235" s="455"/>
    </row>
    <row r="236" spans="8:28" s="439" customFormat="1" ht="10.5">
      <c r="H236" s="455"/>
      <c r="I236" s="455"/>
      <c r="J236" s="455"/>
      <c r="K236" s="455"/>
      <c r="L236" s="455"/>
      <c r="M236" s="455"/>
      <c r="N236" s="455"/>
      <c r="O236" s="455"/>
      <c r="P236" s="455"/>
      <c r="Q236" s="455"/>
      <c r="R236" s="455"/>
      <c r="S236" s="455"/>
      <c r="T236" s="455"/>
      <c r="U236" s="455"/>
      <c r="V236" s="455"/>
      <c r="W236" s="455"/>
      <c r="X236" s="455"/>
      <c r="Y236" s="455"/>
      <c r="Z236" s="455"/>
      <c r="AA236" s="455"/>
      <c r="AB236" s="455"/>
    </row>
    <row r="237" spans="8:28" s="439" customFormat="1" ht="10.5">
      <c r="H237" s="455"/>
      <c r="I237" s="455"/>
      <c r="J237" s="455"/>
      <c r="K237" s="455"/>
      <c r="L237" s="455"/>
      <c r="M237" s="455"/>
      <c r="N237" s="455"/>
      <c r="O237" s="455"/>
      <c r="P237" s="455"/>
      <c r="Q237" s="455"/>
      <c r="R237" s="455"/>
      <c r="S237" s="455"/>
      <c r="T237" s="455"/>
      <c r="U237" s="455"/>
      <c r="V237" s="455"/>
      <c r="W237" s="455"/>
      <c r="X237" s="455"/>
      <c r="Y237" s="455"/>
      <c r="Z237" s="455"/>
      <c r="AA237" s="455"/>
      <c r="AB237" s="455"/>
    </row>
    <row r="238" spans="8:28" s="439" customFormat="1" ht="10.5">
      <c r="H238" s="455"/>
      <c r="I238" s="455"/>
      <c r="J238" s="455"/>
      <c r="K238" s="455"/>
      <c r="L238" s="455"/>
      <c r="M238" s="455"/>
      <c r="N238" s="455"/>
      <c r="O238" s="455"/>
      <c r="P238" s="455"/>
      <c r="Q238" s="455"/>
      <c r="R238" s="455"/>
      <c r="S238" s="455"/>
      <c r="T238" s="455"/>
      <c r="U238" s="455"/>
      <c r="V238" s="455"/>
      <c r="W238" s="455"/>
      <c r="X238" s="455"/>
      <c r="Y238" s="455"/>
      <c r="Z238" s="455"/>
      <c r="AA238" s="455"/>
      <c r="AB238" s="455"/>
    </row>
    <row r="239" spans="8:28" s="439" customFormat="1" ht="10.5">
      <c r="H239" s="455"/>
      <c r="I239" s="455"/>
      <c r="J239" s="455"/>
      <c r="K239" s="455"/>
      <c r="L239" s="455"/>
      <c r="M239" s="455"/>
      <c r="N239" s="455"/>
      <c r="O239" s="455"/>
      <c r="P239" s="455"/>
      <c r="Q239" s="455"/>
      <c r="R239" s="455"/>
      <c r="S239" s="455"/>
      <c r="T239" s="455"/>
      <c r="U239" s="455"/>
      <c r="V239" s="455"/>
      <c r="W239" s="455"/>
      <c r="X239" s="455"/>
      <c r="Y239" s="455"/>
      <c r="Z239" s="455"/>
      <c r="AA239" s="455"/>
      <c r="AB239" s="455"/>
    </row>
    <row r="240" spans="8:28" s="439" customFormat="1" ht="10.5">
      <c r="H240" s="455"/>
      <c r="I240" s="455"/>
      <c r="J240" s="455"/>
      <c r="K240" s="455"/>
      <c r="L240" s="455"/>
      <c r="M240" s="455"/>
      <c r="N240" s="455"/>
      <c r="O240" s="455"/>
      <c r="P240" s="455"/>
      <c r="Q240" s="455"/>
      <c r="R240" s="455"/>
      <c r="S240" s="455"/>
      <c r="T240" s="455"/>
      <c r="U240" s="455"/>
      <c r="V240" s="455"/>
      <c r="W240" s="455"/>
      <c r="X240" s="455"/>
      <c r="Y240" s="455"/>
      <c r="Z240" s="455"/>
      <c r="AA240" s="455"/>
      <c r="AB240" s="455"/>
    </row>
    <row r="241" spans="8:28" s="439" customFormat="1" ht="10.5">
      <c r="H241" s="455"/>
      <c r="I241" s="455"/>
      <c r="J241" s="455"/>
      <c r="K241" s="455"/>
      <c r="L241" s="455"/>
      <c r="M241" s="455"/>
      <c r="N241" s="455"/>
      <c r="O241" s="455"/>
      <c r="P241" s="455"/>
      <c r="Q241" s="455"/>
      <c r="R241" s="455"/>
      <c r="S241" s="455"/>
      <c r="T241" s="455"/>
      <c r="U241" s="455"/>
      <c r="V241" s="455"/>
      <c r="W241" s="455"/>
      <c r="X241" s="455"/>
      <c r="Y241" s="455"/>
      <c r="Z241" s="455"/>
      <c r="AA241" s="455"/>
      <c r="AB241" s="455"/>
    </row>
    <row r="242" spans="8:28" s="439" customFormat="1" ht="10.5">
      <c r="H242" s="455"/>
      <c r="I242" s="455"/>
      <c r="J242" s="455"/>
      <c r="K242" s="455"/>
      <c r="L242" s="455"/>
      <c r="M242" s="455"/>
      <c r="N242" s="455"/>
      <c r="O242" s="455"/>
      <c r="P242" s="455"/>
      <c r="Q242" s="455"/>
      <c r="R242" s="455"/>
      <c r="S242" s="455"/>
      <c r="T242" s="455"/>
      <c r="U242" s="455"/>
      <c r="V242" s="455"/>
      <c r="W242" s="455"/>
      <c r="X242" s="455"/>
      <c r="Y242" s="455"/>
      <c r="Z242" s="455"/>
      <c r="AA242" s="455"/>
      <c r="AB242" s="455"/>
    </row>
    <row r="243" spans="8:28" s="439" customFormat="1" ht="10.5">
      <c r="H243" s="455"/>
      <c r="I243" s="455"/>
      <c r="J243" s="455"/>
      <c r="K243" s="455"/>
      <c r="L243" s="455"/>
      <c r="M243" s="455"/>
      <c r="N243" s="455"/>
      <c r="O243" s="455"/>
      <c r="P243" s="455"/>
      <c r="Q243" s="455"/>
      <c r="R243" s="455"/>
      <c r="S243" s="455"/>
      <c r="T243" s="455"/>
      <c r="U243" s="455"/>
      <c r="V243" s="455"/>
      <c r="W243" s="455"/>
      <c r="X243" s="455"/>
      <c r="Y243" s="455"/>
      <c r="Z243" s="455"/>
      <c r="AA243" s="455"/>
      <c r="AB243" s="455"/>
    </row>
    <row r="244" spans="8:28" s="439" customFormat="1" ht="10.5">
      <c r="H244" s="455"/>
      <c r="I244" s="455"/>
      <c r="J244" s="455"/>
      <c r="K244" s="455"/>
      <c r="L244" s="455"/>
      <c r="M244" s="455"/>
      <c r="N244" s="455"/>
      <c r="O244" s="455"/>
      <c r="P244" s="455"/>
      <c r="Q244" s="455"/>
      <c r="R244" s="455"/>
      <c r="S244" s="455"/>
      <c r="T244" s="455"/>
      <c r="U244" s="455"/>
      <c r="V244" s="455"/>
      <c r="W244" s="455"/>
      <c r="X244" s="455"/>
      <c r="Y244" s="455"/>
      <c r="Z244" s="455"/>
      <c r="AA244" s="455"/>
      <c r="AB244" s="455"/>
    </row>
    <row r="245" spans="8:28" s="439" customFormat="1" ht="10.5">
      <c r="H245" s="455"/>
      <c r="I245" s="455"/>
      <c r="J245" s="455"/>
      <c r="K245" s="455"/>
      <c r="L245" s="455"/>
      <c r="M245" s="455"/>
      <c r="N245" s="455"/>
      <c r="O245" s="455"/>
      <c r="P245" s="455"/>
      <c r="Q245" s="455"/>
      <c r="R245" s="455"/>
      <c r="S245" s="455"/>
      <c r="T245" s="455"/>
      <c r="U245" s="455"/>
      <c r="V245" s="455"/>
      <c r="W245" s="455"/>
      <c r="X245" s="455"/>
      <c r="Y245" s="455"/>
      <c r="Z245" s="455"/>
      <c r="AA245" s="455"/>
      <c r="AB245" s="455"/>
    </row>
    <row r="246" spans="8:28" s="439" customFormat="1" ht="10.5">
      <c r="H246" s="455"/>
      <c r="I246" s="455"/>
      <c r="J246" s="455"/>
      <c r="K246" s="455"/>
      <c r="L246" s="455"/>
      <c r="M246" s="455"/>
      <c r="N246" s="455"/>
      <c r="O246" s="455"/>
      <c r="P246" s="455"/>
      <c r="Q246" s="455"/>
      <c r="R246" s="455"/>
      <c r="S246" s="455"/>
      <c r="T246" s="455"/>
      <c r="U246" s="455"/>
      <c r="V246" s="455"/>
      <c r="W246" s="455"/>
      <c r="X246" s="455"/>
      <c r="Y246" s="455"/>
      <c r="Z246" s="455"/>
      <c r="AA246" s="455"/>
      <c r="AB246" s="455"/>
    </row>
    <row r="247" spans="8:28" s="439" customFormat="1" ht="10.5">
      <c r="H247" s="455"/>
      <c r="I247" s="455"/>
      <c r="J247" s="455"/>
      <c r="K247" s="455"/>
      <c r="L247" s="455"/>
      <c r="M247" s="455"/>
      <c r="N247" s="455"/>
      <c r="O247" s="455"/>
      <c r="P247" s="455"/>
      <c r="Q247" s="455"/>
      <c r="R247" s="455"/>
      <c r="S247" s="455"/>
      <c r="T247" s="455"/>
      <c r="U247" s="455"/>
      <c r="V247" s="455"/>
      <c r="W247" s="455"/>
      <c r="X247" s="455"/>
      <c r="Y247" s="455"/>
      <c r="Z247" s="455"/>
      <c r="AA247" s="455"/>
      <c r="AB247" s="455"/>
    </row>
    <row r="248" spans="8:28" s="439" customFormat="1" ht="10.5">
      <c r="H248" s="455"/>
      <c r="I248" s="455"/>
      <c r="J248" s="455"/>
      <c r="K248" s="455"/>
      <c r="L248" s="455"/>
      <c r="M248" s="455"/>
      <c r="N248" s="455"/>
      <c r="O248" s="455"/>
      <c r="P248" s="455"/>
      <c r="Q248" s="455"/>
      <c r="R248" s="455"/>
      <c r="S248" s="455"/>
      <c r="T248" s="455"/>
      <c r="U248" s="455"/>
      <c r="V248" s="455"/>
      <c r="W248" s="455"/>
      <c r="X248" s="455"/>
      <c r="Y248" s="455"/>
      <c r="Z248" s="455"/>
      <c r="AA248" s="455"/>
      <c r="AB248" s="455"/>
    </row>
    <row r="249" spans="8:28" s="439" customFormat="1" ht="10.5">
      <c r="H249" s="455"/>
      <c r="I249" s="455"/>
      <c r="J249" s="455"/>
      <c r="K249" s="455"/>
      <c r="L249" s="455"/>
      <c r="M249" s="455"/>
      <c r="N249" s="455"/>
      <c r="O249" s="455"/>
      <c r="P249" s="455"/>
      <c r="Q249" s="455"/>
      <c r="R249" s="455"/>
      <c r="S249" s="455"/>
      <c r="T249" s="455"/>
      <c r="U249" s="455"/>
      <c r="V249" s="455"/>
      <c r="W249" s="455"/>
      <c r="X249" s="455"/>
      <c r="Y249" s="455"/>
      <c r="Z249" s="455"/>
      <c r="AA249" s="455"/>
      <c r="AB249" s="455"/>
    </row>
    <row r="250" spans="8:28" s="439" customFormat="1" ht="10.5">
      <c r="H250" s="455"/>
      <c r="I250" s="455"/>
      <c r="J250" s="455"/>
      <c r="K250" s="455"/>
      <c r="L250" s="455"/>
      <c r="M250" s="455"/>
      <c r="N250" s="455"/>
      <c r="O250" s="455"/>
      <c r="P250" s="455"/>
      <c r="Q250" s="455"/>
      <c r="R250" s="455"/>
      <c r="S250" s="455"/>
      <c r="T250" s="455"/>
      <c r="U250" s="455"/>
      <c r="V250" s="455"/>
      <c r="W250" s="455"/>
      <c r="X250" s="455"/>
      <c r="Y250" s="455"/>
      <c r="Z250" s="455"/>
      <c r="AA250" s="455"/>
      <c r="AB250" s="455"/>
    </row>
    <row r="251" spans="8:28" s="439" customFormat="1" ht="10.5">
      <c r="H251" s="455"/>
      <c r="I251" s="455"/>
      <c r="J251" s="455"/>
      <c r="K251" s="455"/>
      <c r="L251" s="455"/>
      <c r="M251" s="455"/>
      <c r="N251" s="455"/>
      <c r="O251" s="455"/>
      <c r="P251" s="455"/>
      <c r="Q251" s="455"/>
      <c r="R251" s="455"/>
      <c r="S251" s="455"/>
      <c r="T251" s="455"/>
      <c r="U251" s="455"/>
      <c r="V251" s="455"/>
      <c r="W251" s="455"/>
      <c r="X251" s="455"/>
      <c r="Y251" s="455"/>
      <c r="Z251" s="455"/>
      <c r="AA251" s="455"/>
      <c r="AB251" s="455"/>
    </row>
    <row r="252" spans="8:28" s="439" customFormat="1" ht="10.5">
      <c r="H252" s="455"/>
      <c r="I252" s="455"/>
      <c r="J252" s="455"/>
      <c r="K252" s="455"/>
      <c r="L252" s="455"/>
      <c r="M252" s="455"/>
      <c r="N252" s="455"/>
      <c r="O252" s="455"/>
      <c r="P252" s="455"/>
      <c r="Q252" s="455"/>
      <c r="R252" s="455"/>
      <c r="S252" s="455"/>
      <c r="T252" s="455"/>
      <c r="U252" s="455"/>
      <c r="V252" s="455"/>
      <c r="W252" s="455"/>
      <c r="X252" s="455"/>
      <c r="Y252" s="455"/>
      <c r="Z252" s="455"/>
      <c r="AA252" s="455"/>
      <c r="AB252" s="455"/>
    </row>
    <row r="253" spans="8:28" s="439" customFormat="1" ht="10.5">
      <c r="H253" s="455"/>
      <c r="I253" s="455"/>
      <c r="J253" s="455"/>
      <c r="K253" s="455"/>
      <c r="L253" s="455"/>
      <c r="M253" s="455"/>
      <c r="N253" s="455"/>
      <c r="O253" s="455"/>
      <c r="P253" s="455"/>
      <c r="Q253" s="455"/>
      <c r="R253" s="455"/>
      <c r="S253" s="455"/>
      <c r="T253" s="455"/>
      <c r="U253" s="455"/>
      <c r="V253" s="455"/>
      <c r="W253" s="455"/>
      <c r="X253" s="455"/>
      <c r="Y253" s="455"/>
      <c r="Z253" s="455"/>
      <c r="AA253" s="455"/>
      <c r="AB253" s="455"/>
    </row>
    <row r="254" spans="8:28" s="439" customFormat="1" ht="10.5">
      <c r="H254" s="455"/>
      <c r="I254" s="455"/>
      <c r="J254" s="455"/>
      <c r="K254" s="455"/>
      <c r="L254" s="455"/>
      <c r="M254" s="455"/>
      <c r="N254" s="455"/>
      <c r="O254" s="455"/>
      <c r="P254" s="455"/>
      <c r="Q254" s="455"/>
      <c r="R254" s="455"/>
      <c r="S254" s="455"/>
      <c r="T254" s="455"/>
      <c r="U254" s="455"/>
      <c r="V254" s="455"/>
      <c r="W254" s="455"/>
      <c r="X254" s="455"/>
      <c r="Y254" s="455"/>
      <c r="Z254" s="455"/>
      <c r="AA254" s="455"/>
      <c r="AB254" s="455"/>
    </row>
    <row r="255" spans="8:28" s="439" customFormat="1" ht="10.5">
      <c r="H255" s="455"/>
      <c r="I255" s="455"/>
      <c r="J255" s="455"/>
      <c r="K255" s="455"/>
      <c r="L255" s="455"/>
      <c r="M255" s="455"/>
      <c r="N255" s="455"/>
      <c r="O255" s="455"/>
      <c r="P255" s="455"/>
      <c r="Q255" s="455"/>
      <c r="R255" s="455"/>
      <c r="S255" s="455"/>
      <c r="T255" s="455"/>
      <c r="U255" s="455"/>
      <c r="V255" s="455"/>
      <c r="W255" s="455"/>
      <c r="X255" s="455"/>
      <c r="Y255" s="455"/>
      <c r="Z255" s="455"/>
      <c r="AA255" s="455"/>
      <c r="AB255" s="455"/>
    </row>
    <row r="256" spans="8:28" s="439" customFormat="1" ht="10.5">
      <c r="H256" s="455"/>
      <c r="I256" s="455"/>
      <c r="J256" s="455"/>
      <c r="K256" s="455"/>
      <c r="L256" s="455"/>
      <c r="M256" s="455"/>
      <c r="N256" s="455"/>
      <c r="O256" s="455"/>
      <c r="P256" s="455"/>
      <c r="Q256" s="455"/>
      <c r="R256" s="455"/>
      <c r="S256" s="455"/>
      <c r="T256" s="455"/>
      <c r="U256" s="455"/>
      <c r="V256" s="455"/>
      <c r="W256" s="455"/>
      <c r="X256" s="455"/>
      <c r="Y256" s="455"/>
      <c r="Z256" s="455"/>
      <c r="AA256" s="455"/>
      <c r="AB256" s="455"/>
    </row>
    <row r="257" spans="8:28" s="439" customFormat="1" ht="10.5">
      <c r="H257" s="455"/>
      <c r="I257" s="455"/>
      <c r="J257" s="455"/>
      <c r="K257" s="455"/>
      <c r="L257" s="455"/>
      <c r="M257" s="455"/>
      <c r="N257" s="455"/>
      <c r="O257" s="455"/>
      <c r="P257" s="455"/>
      <c r="Q257" s="455"/>
      <c r="R257" s="455"/>
      <c r="S257" s="455"/>
      <c r="T257" s="455"/>
      <c r="U257" s="455"/>
      <c r="V257" s="455"/>
      <c r="W257" s="455"/>
      <c r="X257" s="455"/>
      <c r="Y257" s="455"/>
      <c r="Z257" s="455"/>
      <c r="AA257" s="455"/>
      <c r="AB257" s="455"/>
    </row>
    <row r="258" spans="8:28" s="439" customFormat="1" ht="10.5">
      <c r="H258" s="455"/>
      <c r="I258" s="455"/>
      <c r="J258" s="455"/>
      <c r="K258" s="455"/>
      <c r="L258" s="455"/>
      <c r="M258" s="455"/>
      <c r="N258" s="455"/>
      <c r="O258" s="455"/>
      <c r="P258" s="455"/>
      <c r="Q258" s="455"/>
      <c r="R258" s="455"/>
      <c r="S258" s="455"/>
      <c r="T258" s="455"/>
      <c r="U258" s="455"/>
      <c r="V258" s="455"/>
      <c r="W258" s="455"/>
      <c r="X258" s="455"/>
      <c r="Y258" s="455"/>
      <c r="Z258" s="455"/>
      <c r="AA258" s="455"/>
      <c r="AB258" s="455"/>
    </row>
    <row r="259" spans="8:28" s="439" customFormat="1" ht="10.5">
      <c r="H259" s="455"/>
      <c r="I259" s="455"/>
      <c r="J259" s="455"/>
      <c r="K259" s="455"/>
      <c r="L259" s="455"/>
      <c r="M259" s="455"/>
      <c r="N259" s="455"/>
      <c r="O259" s="455"/>
      <c r="P259" s="455"/>
      <c r="Q259" s="455"/>
      <c r="R259" s="455"/>
      <c r="S259" s="455"/>
      <c r="T259" s="455"/>
      <c r="U259" s="455"/>
      <c r="V259" s="455"/>
      <c r="W259" s="455"/>
      <c r="X259" s="455"/>
      <c r="Y259" s="455"/>
      <c r="Z259" s="455"/>
      <c r="AA259" s="455"/>
      <c r="AB259" s="455"/>
    </row>
    <row r="260" spans="8:28" s="439" customFormat="1" ht="10.5">
      <c r="H260" s="455"/>
      <c r="I260" s="455"/>
      <c r="J260" s="455"/>
      <c r="K260" s="455"/>
      <c r="L260" s="455"/>
      <c r="M260" s="455"/>
      <c r="N260" s="455"/>
      <c r="O260" s="455"/>
      <c r="P260" s="455"/>
      <c r="Q260" s="455"/>
      <c r="R260" s="455"/>
      <c r="S260" s="455"/>
      <c r="T260" s="455"/>
      <c r="U260" s="455"/>
      <c r="V260" s="455"/>
      <c r="W260" s="455"/>
      <c r="X260" s="455"/>
      <c r="Y260" s="455"/>
      <c r="Z260" s="455"/>
      <c r="AA260" s="455"/>
      <c r="AB260" s="455"/>
    </row>
    <row r="261" spans="8:28" s="439" customFormat="1" ht="10.5">
      <c r="H261" s="455"/>
      <c r="I261" s="455"/>
      <c r="J261" s="455"/>
      <c r="K261" s="455"/>
      <c r="L261" s="455"/>
      <c r="M261" s="455"/>
      <c r="N261" s="455"/>
      <c r="O261" s="455"/>
      <c r="P261" s="455"/>
      <c r="Q261" s="455"/>
      <c r="R261" s="455"/>
      <c r="S261" s="455"/>
      <c r="T261" s="455"/>
      <c r="U261" s="455"/>
      <c r="V261" s="455"/>
      <c r="W261" s="455"/>
      <c r="X261" s="455"/>
      <c r="Y261" s="455"/>
      <c r="Z261" s="455"/>
      <c r="AA261" s="455"/>
      <c r="AB261" s="455"/>
    </row>
    <row r="262" spans="8:28" s="439" customFormat="1" ht="10.5">
      <c r="H262" s="455"/>
      <c r="I262" s="455"/>
      <c r="J262" s="455"/>
      <c r="K262" s="455"/>
      <c r="L262" s="455"/>
      <c r="M262" s="455"/>
      <c r="N262" s="455"/>
      <c r="O262" s="455"/>
      <c r="P262" s="455"/>
      <c r="Q262" s="455"/>
      <c r="R262" s="455"/>
      <c r="S262" s="455"/>
      <c r="T262" s="455"/>
      <c r="U262" s="455"/>
      <c r="V262" s="455"/>
      <c r="W262" s="455"/>
      <c r="X262" s="455"/>
      <c r="Y262" s="455"/>
      <c r="Z262" s="455"/>
      <c r="AA262" s="455"/>
      <c r="AB262" s="455"/>
    </row>
    <row r="263" spans="8:28" s="439" customFormat="1" ht="10.5">
      <c r="H263" s="455"/>
      <c r="I263" s="455"/>
      <c r="J263" s="455"/>
      <c r="K263" s="455"/>
      <c r="L263" s="455"/>
      <c r="M263" s="455"/>
      <c r="N263" s="455"/>
      <c r="O263" s="455"/>
      <c r="P263" s="455"/>
      <c r="Q263" s="455"/>
      <c r="R263" s="455"/>
      <c r="S263" s="455"/>
      <c r="T263" s="455"/>
      <c r="U263" s="455"/>
      <c r="V263" s="455"/>
      <c r="W263" s="455"/>
      <c r="X263" s="455"/>
      <c r="Y263" s="455"/>
      <c r="Z263" s="455"/>
      <c r="AA263" s="455"/>
      <c r="AB263" s="455"/>
    </row>
    <row r="264" spans="8:28" s="439" customFormat="1" ht="10.5">
      <c r="H264" s="455"/>
      <c r="I264" s="455"/>
      <c r="J264" s="455"/>
      <c r="K264" s="455"/>
      <c r="L264" s="455"/>
      <c r="M264" s="455"/>
      <c r="N264" s="455"/>
      <c r="O264" s="455"/>
      <c r="P264" s="455"/>
      <c r="Q264" s="455"/>
      <c r="R264" s="455"/>
      <c r="S264" s="455"/>
      <c r="T264" s="455"/>
      <c r="U264" s="455"/>
      <c r="V264" s="455"/>
      <c r="W264" s="455"/>
      <c r="X264" s="455"/>
      <c r="Y264" s="455"/>
      <c r="Z264" s="455"/>
      <c r="AA264" s="455"/>
      <c r="AB264" s="455"/>
    </row>
    <row r="265" spans="8:28" s="439" customFormat="1" ht="10.5">
      <c r="H265" s="455"/>
      <c r="I265" s="455"/>
      <c r="J265" s="455"/>
      <c r="K265" s="455"/>
      <c r="L265" s="455"/>
      <c r="M265" s="455"/>
      <c r="N265" s="455"/>
      <c r="O265" s="455"/>
      <c r="P265" s="455"/>
      <c r="Q265" s="455"/>
      <c r="R265" s="455"/>
      <c r="S265" s="455"/>
      <c r="T265" s="455"/>
      <c r="U265" s="455"/>
      <c r="V265" s="455"/>
      <c r="W265" s="455"/>
      <c r="X265" s="455"/>
      <c r="Y265" s="455"/>
      <c r="Z265" s="455"/>
      <c r="AA265" s="455"/>
      <c r="AB265" s="455"/>
    </row>
    <row r="266" spans="8:28" s="439" customFormat="1" ht="10.5">
      <c r="H266" s="455"/>
      <c r="I266" s="455"/>
      <c r="J266" s="455"/>
      <c r="K266" s="455"/>
      <c r="L266" s="455"/>
      <c r="M266" s="455"/>
      <c r="N266" s="455"/>
      <c r="O266" s="455"/>
      <c r="P266" s="455"/>
      <c r="Q266" s="455"/>
      <c r="R266" s="455"/>
      <c r="S266" s="455"/>
      <c r="T266" s="455"/>
      <c r="U266" s="455"/>
      <c r="V266" s="455"/>
      <c r="W266" s="455"/>
      <c r="X266" s="455"/>
      <c r="Y266" s="455"/>
      <c r="Z266" s="455"/>
      <c r="AA266" s="455"/>
      <c r="AB266" s="455"/>
    </row>
    <row r="267" spans="8:28" s="439" customFormat="1" ht="10.5">
      <c r="H267" s="455"/>
      <c r="I267" s="455"/>
      <c r="J267" s="455"/>
      <c r="K267" s="455"/>
      <c r="L267" s="455"/>
      <c r="M267" s="455"/>
      <c r="N267" s="455"/>
      <c r="O267" s="455"/>
      <c r="P267" s="455"/>
      <c r="Q267" s="455"/>
      <c r="R267" s="455"/>
      <c r="S267" s="455"/>
      <c r="T267" s="455"/>
      <c r="U267" s="455"/>
      <c r="V267" s="455"/>
      <c r="W267" s="455"/>
      <c r="X267" s="455"/>
      <c r="Y267" s="455"/>
      <c r="Z267" s="455"/>
      <c r="AA267" s="455"/>
      <c r="AB267" s="455"/>
    </row>
    <row r="268" spans="8:28" s="439" customFormat="1" ht="10.5">
      <c r="H268" s="455"/>
      <c r="I268" s="455"/>
      <c r="J268" s="455"/>
      <c r="K268" s="455"/>
      <c r="L268" s="455"/>
      <c r="M268" s="455"/>
      <c r="N268" s="455"/>
      <c r="O268" s="455"/>
      <c r="P268" s="455"/>
      <c r="Q268" s="455"/>
      <c r="R268" s="455"/>
      <c r="S268" s="455"/>
      <c r="T268" s="455"/>
      <c r="U268" s="455"/>
      <c r="V268" s="455"/>
      <c r="W268" s="455"/>
      <c r="X268" s="455"/>
      <c r="Y268" s="455"/>
      <c r="Z268" s="455"/>
      <c r="AA268" s="455"/>
      <c r="AB268" s="455"/>
    </row>
    <row r="269" spans="8:28" s="439" customFormat="1" ht="10.5">
      <c r="H269" s="455"/>
      <c r="I269" s="455"/>
      <c r="J269" s="455"/>
      <c r="K269" s="455"/>
      <c r="L269" s="455"/>
      <c r="M269" s="455"/>
      <c r="N269" s="455"/>
      <c r="O269" s="455"/>
      <c r="P269" s="455"/>
      <c r="Q269" s="455"/>
      <c r="R269" s="455"/>
      <c r="S269" s="455"/>
      <c r="T269" s="455"/>
      <c r="U269" s="455"/>
      <c r="V269" s="455"/>
      <c r="W269" s="455"/>
      <c r="X269" s="455"/>
      <c r="Y269" s="455"/>
      <c r="Z269" s="455"/>
      <c r="AA269" s="455"/>
      <c r="AB269" s="455"/>
    </row>
    <row r="270" spans="8:28" s="439" customFormat="1" ht="10.5">
      <c r="H270" s="455"/>
      <c r="I270" s="455"/>
      <c r="J270" s="455"/>
      <c r="K270" s="455"/>
      <c r="L270" s="455"/>
      <c r="M270" s="455"/>
      <c r="N270" s="455"/>
      <c r="O270" s="455"/>
      <c r="P270" s="455"/>
      <c r="Q270" s="455"/>
      <c r="R270" s="455"/>
      <c r="S270" s="455"/>
      <c r="T270" s="455"/>
      <c r="U270" s="455"/>
      <c r="V270" s="455"/>
      <c r="W270" s="455"/>
      <c r="X270" s="455"/>
      <c r="Y270" s="455"/>
      <c r="Z270" s="455"/>
      <c r="AA270" s="455"/>
      <c r="AB270" s="455"/>
    </row>
    <row r="271" spans="8:28" s="439" customFormat="1" ht="10.5">
      <c r="H271" s="455"/>
      <c r="I271" s="455"/>
      <c r="J271" s="455"/>
      <c r="K271" s="455"/>
      <c r="L271" s="455"/>
      <c r="M271" s="455"/>
      <c r="N271" s="455"/>
      <c r="O271" s="455"/>
      <c r="P271" s="455"/>
      <c r="Q271" s="455"/>
      <c r="R271" s="455"/>
      <c r="S271" s="455"/>
      <c r="T271" s="455"/>
      <c r="U271" s="455"/>
      <c r="V271" s="455"/>
      <c r="W271" s="455"/>
      <c r="X271" s="455"/>
      <c r="Y271" s="455"/>
      <c r="Z271" s="455"/>
      <c r="AA271" s="455"/>
      <c r="AB271" s="455"/>
    </row>
    <row r="272" spans="8:28" s="439" customFormat="1" ht="10.5">
      <c r="H272" s="455"/>
      <c r="I272" s="455"/>
      <c r="J272" s="455"/>
      <c r="K272" s="455"/>
      <c r="L272" s="455"/>
      <c r="M272" s="455"/>
      <c r="N272" s="455"/>
      <c r="O272" s="455"/>
      <c r="P272" s="455"/>
      <c r="Q272" s="455"/>
      <c r="R272" s="455"/>
      <c r="S272" s="455"/>
      <c r="T272" s="455"/>
      <c r="U272" s="455"/>
      <c r="V272" s="455"/>
      <c r="W272" s="455"/>
      <c r="X272" s="455"/>
      <c r="Y272" s="455"/>
      <c r="Z272" s="455"/>
      <c r="AA272" s="455"/>
      <c r="AB272" s="455"/>
    </row>
    <row r="273" spans="8:28" s="439" customFormat="1" ht="10.5">
      <c r="H273" s="455"/>
      <c r="I273" s="455"/>
      <c r="J273" s="455"/>
      <c r="K273" s="455"/>
      <c r="L273" s="455"/>
      <c r="M273" s="455"/>
      <c r="N273" s="455"/>
      <c r="O273" s="455"/>
      <c r="P273" s="455"/>
      <c r="Q273" s="455"/>
      <c r="R273" s="455"/>
      <c r="S273" s="455"/>
      <c r="T273" s="455"/>
      <c r="U273" s="455"/>
      <c r="V273" s="455"/>
      <c r="W273" s="455"/>
      <c r="X273" s="455"/>
      <c r="Y273" s="455"/>
      <c r="Z273" s="455"/>
      <c r="AA273" s="455"/>
      <c r="AB273" s="455"/>
    </row>
    <row r="274" spans="8:28" s="439" customFormat="1" ht="10.5">
      <c r="H274" s="455"/>
      <c r="I274" s="455"/>
      <c r="J274" s="455"/>
      <c r="K274" s="455"/>
      <c r="L274" s="455"/>
      <c r="M274" s="455"/>
      <c r="N274" s="455"/>
      <c r="O274" s="455"/>
      <c r="P274" s="455"/>
      <c r="Q274" s="455"/>
      <c r="R274" s="455"/>
      <c r="S274" s="455"/>
      <c r="T274" s="455"/>
      <c r="U274" s="455"/>
      <c r="V274" s="455"/>
      <c r="W274" s="455"/>
      <c r="X274" s="455"/>
      <c r="Y274" s="455"/>
      <c r="Z274" s="455"/>
      <c r="AA274" s="455"/>
      <c r="AB274" s="455"/>
    </row>
    <row r="275" spans="8:28" s="439" customFormat="1" ht="10.5">
      <c r="H275" s="455"/>
      <c r="I275" s="455"/>
      <c r="J275" s="455"/>
      <c r="K275" s="455"/>
      <c r="L275" s="455"/>
      <c r="M275" s="455"/>
      <c r="N275" s="455"/>
      <c r="O275" s="455"/>
      <c r="P275" s="455"/>
      <c r="Q275" s="455"/>
      <c r="R275" s="455"/>
      <c r="S275" s="455"/>
      <c r="T275" s="455"/>
      <c r="U275" s="455"/>
      <c r="V275" s="455"/>
      <c r="W275" s="455"/>
      <c r="X275" s="455"/>
      <c r="Y275" s="455"/>
      <c r="Z275" s="455"/>
      <c r="AA275" s="455"/>
      <c r="AB275" s="455"/>
    </row>
    <row r="276" spans="8:28" s="439" customFormat="1" ht="10.5">
      <c r="H276" s="455"/>
      <c r="I276" s="455"/>
      <c r="J276" s="455"/>
      <c r="K276" s="455"/>
      <c r="L276" s="455"/>
      <c r="M276" s="455"/>
      <c r="N276" s="455"/>
      <c r="O276" s="455"/>
      <c r="P276" s="455"/>
      <c r="Q276" s="455"/>
      <c r="R276" s="455"/>
      <c r="S276" s="455"/>
      <c r="T276" s="455"/>
      <c r="U276" s="455"/>
      <c r="V276" s="455"/>
      <c r="W276" s="455"/>
      <c r="X276" s="455"/>
      <c r="Y276" s="455"/>
      <c r="Z276" s="455"/>
      <c r="AA276" s="455"/>
      <c r="AB276" s="455"/>
    </row>
    <row r="277" spans="8:28" s="439" customFormat="1" ht="10.5">
      <c r="H277" s="455"/>
      <c r="I277" s="455"/>
      <c r="J277" s="455"/>
      <c r="K277" s="455"/>
      <c r="L277" s="455"/>
      <c r="M277" s="455"/>
      <c r="N277" s="455"/>
      <c r="O277" s="455"/>
      <c r="P277" s="455"/>
      <c r="Q277" s="455"/>
      <c r="R277" s="455"/>
      <c r="S277" s="455"/>
      <c r="T277" s="455"/>
      <c r="U277" s="455"/>
      <c r="V277" s="455"/>
      <c r="W277" s="455"/>
      <c r="X277" s="455"/>
      <c r="Y277" s="455"/>
      <c r="Z277" s="455"/>
      <c r="AA277" s="455"/>
      <c r="AB277" s="455"/>
    </row>
    <row r="278" spans="8:28" s="439" customFormat="1" ht="10.5">
      <c r="H278" s="455"/>
      <c r="I278" s="455"/>
      <c r="J278" s="455"/>
      <c r="K278" s="455"/>
      <c r="L278" s="455"/>
      <c r="M278" s="455"/>
      <c r="N278" s="455"/>
      <c r="O278" s="455"/>
      <c r="P278" s="455"/>
      <c r="Q278" s="455"/>
      <c r="R278" s="455"/>
      <c r="S278" s="455"/>
      <c r="T278" s="455"/>
      <c r="U278" s="455"/>
      <c r="V278" s="455"/>
      <c r="W278" s="455"/>
      <c r="X278" s="455"/>
      <c r="Y278" s="455"/>
      <c r="Z278" s="455"/>
      <c r="AA278" s="455"/>
      <c r="AB278" s="455"/>
    </row>
    <row r="279" spans="8:28" s="439" customFormat="1" ht="10.5">
      <c r="H279" s="455"/>
      <c r="I279" s="455"/>
      <c r="J279" s="455"/>
      <c r="K279" s="455"/>
      <c r="L279" s="455"/>
      <c r="M279" s="455"/>
      <c r="N279" s="455"/>
      <c r="O279" s="455"/>
      <c r="P279" s="455"/>
      <c r="Q279" s="455"/>
      <c r="R279" s="455"/>
      <c r="S279" s="455"/>
      <c r="T279" s="455"/>
      <c r="U279" s="455"/>
      <c r="V279" s="455"/>
      <c r="W279" s="455"/>
      <c r="X279" s="455"/>
      <c r="Y279" s="455"/>
      <c r="Z279" s="455"/>
      <c r="AA279" s="455"/>
      <c r="AB279" s="455"/>
    </row>
    <row r="280" spans="8:28" s="439" customFormat="1" ht="10.5">
      <c r="H280" s="455"/>
      <c r="I280" s="455"/>
      <c r="J280" s="455"/>
      <c r="K280" s="455"/>
      <c r="L280" s="455"/>
      <c r="M280" s="455"/>
      <c r="N280" s="455"/>
      <c r="O280" s="455"/>
      <c r="P280" s="455"/>
      <c r="Q280" s="455"/>
      <c r="R280" s="455"/>
      <c r="S280" s="455"/>
      <c r="T280" s="455"/>
      <c r="U280" s="455"/>
      <c r="V280" s="455"/>
      <c r="W280" s="455"/>
      <c r="X280" s="455"/>
      <c r="Y280" s="455"/>
      <c r="Z280" s="455"/>
      <c r="AA280" s="455"/>
      <c r="AB280" s="455"/>
    </row>
    <row r="281" spans="8:28" s="439" customFormat="1" ht="10.5">
      <c r="H281" s="455"/>
      <c r="I281" s="455"/>
      <c r="J281" s="455"/>
      <c r="K281" s="455"/>
      <c r="L281" s="455"/>
      <c r="M281" s="455"/>
      <c r="N281" s="455"/>
      <c r="O281" s="455"/>
      <c r="P281" s="455"/>
      <c r="Q281" s="455"/>
      <c r="R281" s="455"/>
      <c r="S281" s="455"/>
      <c r="T281" s="455"/>
      <c r="U281" s="455"/>
      <c r="V281" s="455"/>
      <c r="W281" s="455"/>
      <c r="X281" s="455"/>
      <c r="Y281" s="455"/>
      <c r="Z281" s="455"/>
      <c r="AA281" s="455"/>
      <c r="AB281" s="455"/>
    </row>
    <row r="282" spans="8:28" s="439" customFormat="1" ht="10.5">
      <c r="H282" s="455"/>
      <c r="I282" s="455"/>
      <c r="J282" s="455"/>
      <c r="K282" s="455"/>
      <c r="L282" s="455"/>
      <c r="M282" s="455"/>
      <c r="N282" s="455"/>
      <c r="O282" s="455"/>
      <c r="P282" s="455"/>
      <c r="Q282" s="455"/>
      <c r="R282" s="455"/>
      <c r="S282" s="455"/>
      <c r="T282" s="455"/>
      <c r="U282" s="455"/>
      <c r="V282" s="455"/>
      <c r="W282" s="455"/>
      <c r="X282" s="455"/>
      <c r="Y282" s="455"/>
      <c r="Z282" s="455"/>
      <c r="AA282" s="455"/>
      <c r="AB282" s="455"/>
    </row>
    <row r="283" spans="8:28" s="439" customFormat="1" ht="10.5">
      <c r="H283" s="455"/>
      <c r="I283" s="455"/>
      <c r="J283" s="455"/>
      <c r="K283" s="455"/>
      <c r="L283" s="455"/>
      <c r="M283" s="455"/>
      <c r="N283" s="455"/>
      <c r="O283" s="455"/>
      <c r="P283" s="455"/>
      <c r="Q283" s="455"/>
      <c r="R283" s="455"/>
      <c r="S283" s="455"/>
      <c r="T283" s="455"/>
      <c r="U283" s="455"/>
      <c r="V283" s="455"/>
      <c r="W283" s="455"/>
      <c r="X283" s="455"/>
      <c r="Y283" s="455"/>
      <c r="Z283" s="455"/>
      <c r="AA283" s="455"/>
      <c r="AB283" s="455"/>
    </row>
    <row r="284" spans="8:28" s="439" customFormat="1" ht="10.5">
      <c r="H284" s="455"/>
      <c r="I284" s="455"/>
      <c r="J284" s="455"/>
      <c r="K284" s="455"/>
      <c r="L284" s="455"/>
      <c r="M284" s="455"/>
      <c r="N284" s="455"/>
      <c r="O284" s="455"/>
      <c r="P284" s="455"/>
      <c r="Q284" s="455"/>
      <c r="R284" s="455"/>
      <c r="S284" s="455"/>
      <c r="T284" s="455"/>
      <c r="U284" s="455"/>
      <c r="V284" s="455"/>
      <c r="W284" s="455"/>
      <c r="X284" s="455"/>
      <c r="Y284" s="455"/>
      <c r="Z284" s="455"/>
      <c r="AA284" s="455"/>
      <c r="AB284" s="455"/>
    </row>
    <row r="285" spans="8:28" s="439" customFormat="1" ht="10.5">
      <c r="H285" s="455"/>
      <c r="I285" s="455"/>
      <c r="J285" s="455"/>
      <c r="K285" s="455"/>
      <c r="L285" s="455"/>
      <c r="M285" s="455"/>
      <c r="N285" s="455"/>
      <c r="O285" s="455"/>
      <c r="P285" s="455"/>
      <c r="Q285" s="455"/>
      <c r="R285" s="455"/>
      <c r="S285" s="455"/>
      <c r="T285" s="455"/>
      <c r="U285" s="455"/>
      <c r="V285" s="455"/>
      <c r="W285" s="455"/>
      <c r="X285" s="455"/>
      <c r="Y285" s="455"/>
      <c r="Z285" s="455"/>
      <c r="AA285" s="455"/>
      <c r="AB285" s="455"/>
    </row>
    <row r="286" spans="8:28" s="439" customFormat="1" ht="10.5">
      <c r="H286" s="455"/>
      <c r="I286" s="455"/>
      <c r="J286" s="455"/>
      <c r="K286" s="455"/>
      <c r="L286" s="455"/>
      <c r="M286" s="455"/>
      <c r="N286" s="455"/>
      <c r="O286" s="455"/>
      <c r="P286" s="455"/>
      <c r="Q286" s="455"/>
      <c r="R286" s="455"/>
      <c r="S286" s="455"/>
      <c r="T286" s="455"/>
      <c r="U286" s="455"/>
      <c r="V286" s="455"/>
      <c r="W286" s="455"/>
      <c r="X286" s="455"/>
      <c r="Y286" s="455"/>
      <c r="Z286" s="455"/>
      <c r="AA286" s="455"/>
      <c r="AB286" s="455"/>
    </row>
    <row r="287" spans="8:28" s="439" customFormat="1" ht="10.5">
      <c r="H287" s="455"/>
      <c r="I287" s="455"/>
      <c r="J287" s="455"/>
      <c r="K287" s="455"/>
      <c r="L287" s="455"/>
      <c r="M287" s="455"/>
      <c r="N287" s="455"/>
      <c r="O287" s="455"/>
      <c r="P287" s="455"/>
      <c r="Q287" s="455"/>
      <c r="R287" s="455"/>
      <c r="S287" s="455"/>
      <c r="T287" s="455"/>
      <c r="U287" s="455"/>
      <c r="V287" s="455"/>
      <c r="W287" s="455"/>
      <c r="X287" s="455"/>
      <c r="Y287" s="455"/>
      <c r="Z287" s="455"/>
      <c r="AA287" s="455"/>
      <c r="AB287" s="455"/>
    </row>
    <row r="288" spans="8:28" s="439" customFormat="1" ht="10.5">
      <c r="H288" s="455"/>
      <c r="I288" s="455"/>
      <c r="J288" s="455"/>
      <c r="K288" s="455"/>
      <c r="L288" s="455"/>
      <c r="M288" s="455"/>
      <c r="N288" s="455"/>
      <c r="O288" s="455"/>
      <c r="P288" s="455"/>
      <c r="Q288" s="455"/>
      <c r="R288" s="455"/>
      <c r="S288" s="455"/>
      <c r="T288" s="455"/>
      <c r="U288" s="455"/>
      <c r="V288" s="455"/>
      <c r="W288" s="455"/>
      <c r="X288" s="455"/>
      <c r="Y288" s="455"/>
      <c r="Z288" s="455"/>
      <c r="AA288" s="455"/>
      <c r="AB288" s="455"/>
    </row>
    <row r="289" spans="8:28" s="439" customFormat="1" ht="10.5">
      <c r="H289" s="455"/>
      <c r="I289" s="455"/>
      <c r="J289" s="455"/>
      <c r="K289" s="455"/>
      <c r="L289" s="455"/>
      <c r="M289" s="455"/>
      <c r="N289" s="455"/>
      <c r="O289" s="455"/>
      <c r="P289" s="455"/>
      <c r="Q289" s="455"/>
      <c r="R289" s="455"/>
      <c r="S289" s="455"/>
      <c r="T289" s="455"/>
      <c r="U289" s="455"/>
      <c r="V289" s="455"/>
      <c r="W289" s="455"/>
      <c r="X289" s="455"/>
      <c r="Y289" s="455"/>
      <c r="Z289" s="455"/>
      <c r="AA289" s="455"/>
      <c r="AB289" s="455"/>
    </row>
    <row r="290" spans="8:28" s="439" customFormat="1" ht="10.5">
      <c r="H290" s="455"/>
      <c r="I290" s="455"/>
      <c r="J290" s="455"/>
      <c r="K290" s="455"/>
      <c r="L290" s="455"/>
      <c r="M290" s="455"/>
      <c r="N290" s="455"/>
      <c r="O290" s="455"/>
      <c r="P290" s="455"/>
      <c r="Q290" s="455"/>
      <c r="R290" s="455"/>
      <c r="S290" s="455"/>
      <c r="T290" s="455"/>
      <c r="U290" s="455"/>
      <c r="V290" s="455"/>
      <c r="W290" s="455"/>
      <c r="X290" s="455"/>
      <c r="Y290" s="455"/>
      <c r="Z290" s="455"/>
      <c r="AA290" s="455"/>
      <c r="AB290" s="455"/>
    </row>
    <row r="291" spans="8:28" s="439" customFormat="1" ht="10.5">
      <c r="H291" s="455"/>
      <c r="I291" s="455"/>
      <c r="J291" s="455"/>
      <c r="K291" s="455"/>
      <c r="L291" s="455"/>
      <c r="M291" s="455"/>
      <c r="N291" s="455"/>
      <c r="O291" s="455"/>
      <c r="P291" s="455"/>
      <c r="Q291" s="455"/>
      <c r="R291" s="455"/>
      <c r="S291" s="455"/>
      <c r="T291" s="455"/>
      <c r="U291" s="455"/>
      <c r="V291" s="455"/>
      <c r="W291" s="455"/>
      <c r="X291" s="455"/>
      <c r="Y291" s="455"/>
      <c r="Z291" s="455"/>
      <c r="AA291" s="455"/>
      <c r="AB291" s="455"/>
    </row>
    <row r="292" spans="8:28" s="439" customFormat="1" ht="10.5">
      <c r="H292" s="455"/>
      <c r="I292" s="455"/>
      <c r="J292" s="455"/>
      <c r="K292" s="455"/>
      <c r="L292" s="455"/>
      <c r="M292" s="455"/>
      <c r="N292" s="455"/>
      <c r="O292" s="455"/>
      <c r="P292" s="455"/>
      <c r="Q292" s="455"/>
      <c r="R292" s="455"/>
      <c r="S292" s="455"/>
      <c r="T292" s="455"/>
      <c r="U292" s="455"/>
      <c r="V292" s="455"/>
      <c r="W292" s="455"/>
      <c r="X292" s="455"/>
      <c r="Y292" s="455"/>
      <c r="Z292" s="455"/>
      <c r="AA292" s="455"/>
      <c r="AB292" s="455"/>
    </row>
    <row r="293" spans="8:28" s="439" customFormat="1" ht="10.5">
      <c r="H293" s="455"/>
      <c r="I293" s="455"/>
      <c r="J293" s="455"/>
      <c r="K293" s="455"/>
      <c r="L293" s="455"/>
      <c r="M293" s="455"/>
      <c r="N293" s="455"/>
      <c r="O293" s="455"/>
      <c r="P293" s="455"/>
      <c r="Q293" s="455"/>
      <c r="R293" s="455"/>
      <c r="S293" s="455"/>
      <c r="T293" s="455"/>
      <c r="U293" s="455"/>
      <c r="V293" s="455"/>
      <c r="W293" s="455"/>
      <c r="X293" s="455"/>
      <c r="Y293" s="455"/>
      <c r="Z293" s="455"/>
      <c r="AA293" s="455"/>
      <c r="AB293" s="455"/>
    </row>
    <row r="294" spans="8:28" s="439" customFormat="1" ht="10.5">
      <c r="H294" s="455"/>
      <c r="I294" s="455"/>
      <c r="J294" s="455"/>
      <c r="K294" s="455"/>
      <c r="L294" s="455"/>
      <c r="M294" s="455"/>
      <c r="N294" s="455"/>
      <c r="O294" s="455"/>
      <c r="P294" s="455"/>
      <c r="Q294" s="455"/>
      <c r="R294" s="455"/>
      <c r="S294" s="455"/>
      <c r="T294" s="455"/>
      <c r="U294" s="455"/>
      <c r="V294" s="455"/>
      <c r="W294" s="455"/>
      <c r="X294" s="455"/>
      <c r="Y294" s="455"/>
      <c r="Z294" s="455"/>
      <c r="AA294" s="455"/>
      <c r="AB294" s="455"/>
    </row>
    <row r="295" spans="8:28" s="439" customFormat="1" ht="10.5">
      <c r="H295" s="455"/>
      <c r="I295" s="455"/>
      <c r="J295" s="455"/>
      <c r="K295" s="455"/>
      <c r="L295" s="455"/>
      <c r="M295" s="455"/>
      <c r="N295" s="455"/>
      <c r="O295" s="455"/>
      <c r="P295" s="455"/>
      <c r="Q295" s="455"/>
      <c r="R295" s="455"/>
      <c r="S295" s="455"/>
      <c r="T295" s="455"/>
      <c r="U295" s="455"/>
      <c r="V295" s="455"/>
      <c r="W295" s="455"/>
      <c r="X295" s="455"/>
      <c r="Y295" s="455"/>
      <c r="Z295" s="455"/>
      <c r="AA295" s="455"/>
      <c r="AB295" s="455"/>
    </row>
    <row r="296" spans="8:28" s="439" customFormat="1" ht="10.5">
      <c r="H296" s="455"/>
      <c r="I296" s="455"/>
      <c r="J296" s="455"/>
      <c r="K296" s="455"/>
      <c r="L296" s="455"/>
      <c r="M296" s="455"/>
      <c r="N296" s="455"/>
      <c r="O296" s="455"/>
      <c r="P296" s="455"/>
      <c r="Q296" s="455"/>
      <c r="R296" s="455"/>
      <c r="S296" s="455"/>
      <c r="T296" s="455"/>
      <c r="U296" s="455"/>
      <c r="V296" s="455"/>
      <c r="W296" s="455"/>
      <c r="X296" s="455"/>
      <c r="Y296" s="455"/>
      <c r="Z296" s="455"/>
      <c r="AA296" s="455"/>
      <c r="AB296" s="455"/>
    </row>
    <row r="297" spans="8:28" s="439" customFormat="1" ht="10.5">
      <c r="H297" s="455"/>
      <c r="I297" s="455"/>
      <c r="J297" s="455"/>
      <c r="K297" s="455"/>
      <c r="L297" s="455"/>
      <c r="M297" s="455"/>
      <c r="N297" s="455"/>
      <c r="O297" s="455"/>
      <c r="P297" s="455"/>
      <c r="Q297" s="455"/>
      <c r="R297" s="455"/>
      <c r="S297" s="455"/>
      <c r="T297" s="455"/>
      <c r="U297" s="455"/>
      <c r="V297" s="455"/>
      <c r="W297" s="455"/>
      <c r="X297" s="455"/>
      <c r="Y297" s="455"/>
      <c r="Z297" s="455"/>
      <c r="AA297" s="455"/>
      <c r="AB297" s="455"/>
    </row>
    <row r="298" spans="8:28" s="439" customFormat="1" ht="10.5">
      <c r="H298" s="455"/>
      <c r="I298" s="455"/>
      <c r="J298" s="455"/>
      <c r="K298" s="455"/>
      <c r="L298" s="455"/>
      <c r="M298" s="455"/>
      <c r="N298" s="455"/>
      <c r="O298" s="455"/>
      <c r="P298" s="455"/>
      <c r="Q298" s="455"/>
      <c r="R298" s="455"/>
      <c r="S298" s="455"/>
      <c r="T298" s="455"/>
      <c r="U298" s="455"/>
      <c r="V298" s="455"/>
      <c r="W298" s="455"/>
      <c r="X298" s="455"/>
      <c r="Y298" s="455"/>
      <c r="Z298" s="455"/>
      <c r="AA298" s="455"/>
      <c r="AB298" s="455"/>
    </row>
    <row r="299" spans="8:28" s="439" customFormat="1" ht="10.5">
      <c r="H299" s="455"/>
      <c r="I299" s="455"/>
      <c r="J299" s="455"/>
      <c r="K299" s="455"/>
      <c r="L299" s="455"/>
      <c r="M299" s="455"/>
      <c r="N299" s="455"/>
      <c r="O299" s="455"/>
      <c r="P299" s="455"/>
      <c r="Q299" s="455"/>
      <c r="R299" s="455"/>
      <c r="S299" s="455"/>
      <c r="T299" s="455"/>
      <c r="U299" s="455"/>
      <c r="V299" s="455"/>
      <c r="W299" s="455"/>
      <c r="X299" s="455"/>
      <c r="Y299" s="455"/>
      <c r="Z299" s="455"/>
      <c r="AA299" s="455"/>
      <c r="AB299" s="455"/>
    </row>
    <row r="300" spans="8:28" s="439" customFormat="1" ht="10.5">
      <c r="H300" s="455"/>
      <c r="I300" s="455"/>
      <c r="J300" s="455"/>
      <c r="K300" s="455"/>
      <c r="L300" s="455"/>
      <c r="M300" s="455"/>
      <c r="N300" s="455"/>
      <c r="O300" s="455"/>
      <c r="P300" s="455"/>
      <c r="Q300" s="455"/>
      <c r="R300" s="455"/>
      <c r="S300" s="455"/>
      <c r="T300" s="455"/>
      <c r="U300" s="455"/>
      <c r="V300" s="455"/>
      <c r="W300" s="455"/>
      <c r="X300" s="455"/>
      <c r="Y300" s="455"/>
      <c r="Z300" s="455"/>
      <c r="AA300" s="455"/>
      <c r="AB300" s="455"/>
    </row>
    <row r="301" spans="8:28" s="439" customFormat="1" ht="10.5">
      <c r="H301" s="455"/>
      <c r="I301" s="455"/>
      <c r="J301" s="455"/>
      <c r="K301" s="455"/>
      <c r="L301" s="455"/>
      <c r="M301" s="455"/>
      <c r="N301" s="455"/>
      <c r="O301" s="455"/>
      <c r="P301" s="455"/>
      <c r="Q301" s="455"/>
      <c r="R301" s="455"/>
      <c r="S301" s="455"/>
      <c r="T301" s="455"/>
      <c r="U301" s="455"/>
      <c r="V301" s="455"/>
      <c r="W301" s="455"/>
      <c r="X301" s="455"/>
      <c r="Y301" s="455"/>
      <c r="Z301" s="455"/>
      <c r="AA301" s="455"/>
      <c r="AB301" s="455"/>
    </row>
    <row r="302" spans="8:28" s="439" customFormat="1" ht="10.5">
      <c r="H302" s="455"/>
      <c r="I302" s="455"/>
      <c r="J302" s="455"/>
      <c r="K302" s="455"/>
      <c r="L302" s="455"/>
      <c r="M302" s="455"/>
      <c r="N302" s="455"/>
      <c r="O302" s="455"/>
      <c r="P302" s="455"/>
      <c r="Q302" s="455"/>
      <c r="R302" s="455"/>
      <c r="S302" s="455"/>
      <c r="T302" s="455"/>
      <c r="U302" s="455"/>
      <c r="V302" s="455"/>
      <c r="W302" s="455"/>
      <c r="X302" s="455"/>
      <c r="Y302" s="455"/>
      <c r="Z302" s="455"/>
      <c r="AA302" s="455"/>
      <c r="AB302" s="455"/>
    </row>
    <row r="303" spans="8:28" s="439" customFormat="1" ht="10.5">
      <c r="H303" s="455"/>
      <c r="I303" s="455"/>
      <c r="J303" s="455"/>
      <c r="K303" s="455"/>
      <c r="L303" s="455"/>
      <c r="M303" s="455"/>
      <c r="N303" s="455"/>
      <c r="O303" s="455"/>
      <c r="P303" s="455"/>
      <c r="Q303" s="455"/>
      <c r="R303" s="455"/>
      <c r="S303" s="455"/>
      <c r="T303" s="455"/>
      <c r="U303" s="455"/>
      <c r="V303" s="455"/>
      <c r="W303" s="455"/>
      <c r="X303" s="455"/>
      <c r="Y303" s="455"/>
      <c r="Z303" s="455"/>
      <c r="AA303" s="455"/>
      <c r="AB303" s="455"/>
    </row>
    <row r="304" spans="8:28" s="439" customFormat="1" ht="10.5">
      <c r="H304" s="455"/>
      <c r="I304" s="455"/>
      <c r="J304" s="455"/>
      <c r="K304" s="455"/>
      <c r="L304" s="455"/>
      <c r="M304" s="455"/>
      <c r="N304" s="455"/>
      <c r="O304" s="455"/>
      <c r="P304" s="455"/>
      <c r="Q304" s="455"/>
      <c r="R304" s="455"/>
      <c r="S304" s="455"/>
      <c r="T304" s="455"/>
      <c r="U304" s="455"/>
      <c r="V304" s="455"/>
      <c r="W304" s="455"/>
      <c r="X304" s="455"/>
      <c r="Y304" s="455"/>
      <c r="Z304" s="455"/>
      <c r="AA304" s="455"/>
      <c r="AB304" s="455"/>
    </row>
    <row r="305" spans="8:28" s="439" customFormat="1" ht="10.5">
      <c r="H305" s="455"/>
      <c r="I305" s="455"/>
      <c r="J305" s="455"/>
      <c r="K305" s="455"/>
      <c r="L305" s="455"/>
      <c r="M305" s="455"/>
      <c r="N305" s="455"/>
      <c r="O305" s="455"/>
      <c r="P305" s="455"/>
      <c r="Q305" s="455"/>
      <c r="R305" s="455"/>
      <c r="S305" s="455"/>
      <c r="T305" s="455"/>
      <c r="U305" s="455"/>
      <c r="V305" s="455"/>
      <c r="W305" s="455"/>
      <c r="X305" s="455"/>
      <c r="Y305" s="455"/>
      <c r="Z305" s="455"/>
      <c r="AA305" s="455"/>
      <c r="AB305" s="455"/>
    </row>
    <row r="306" spans="8:28" s="439" customFormat="1" ht="10.5">
      <c r="H306" s="455"/>
      <c r="I306" s="455"/>
      <c r="J306" s="455"/>
      <c r="K306" s="455"/>
      <c r="L306" s="455"/>
      <c r="M306" s="455"/>
      <c r="N306" s="455"/>
      <c r="O306" s="455"/>
      <c r="P306" s="455"/>
      <c r="Q306" s="455"/>
      <c r="R306" s="455"/>
      <c r="S306" s="455"/>
      <c r="T306" s="455"/>
      <c r="U306" s="455"/>
      <c r="V306" s="455"/>
      <c r="W306" s="455"/>
      <c r="X306" s="455"/>
      <c r="Y306" s="455"/>
      <c r="Z306" s="455"/>
      <c r="AA306" s="455"/>
      <c r="AB306" s="455"/>
    </row>
    <row r="307" spans="8:28" s="439" customFormat="1" ht="10.5">
      <c r="H307" s="455"/>
      <c r="I307" s="455"/>
      <c r="J307" s="455"/>
      <c r="K307" s="455"/>
      <c r="L307" s="455"/>
      <c r="M307" s="455"/>
      <c r="N307" s="455"/>
      <c r="O307" s="455"/>
      <c r="P307" s="455"/>
      <c r="Q307" s="455"/>
      <c r="R307" s="455"/>
      <c r="S307" s="455"/>
      <c r="T307" s="455"/>
      <c r="U307" s="455"/>
      <c r="V307" s="455"/>
      <c r="W307" s="455"/>
      <c r="X307" s="455"/>
      <c r="Y307" s="455"/>
      <c r="Z307" s="455"/>
      <c r="AA307" s="455"/>
      <c r="AB307" s="455"/>
    </row>
    <row r="308" spans="8:28" s="439" customFormat="1" ht="10.5">
      <c r="H308" s="455"/>
      <c r="I308" s="455"/>
      <c r="J308" s="455"/>
      <c r="K308" s="455"/>
      <c r="L308" s="455"/>
      <c r="M308" s="455"/>
      <c r="N308" s="455"/>
      <c r="O308" s="455"/>
      <c r="P308" s="455"/>
      <c r="Q308" s="455"/>
      <c r="R308" s="455"/>
      <c r="S308" s="455"/>
      <c r="T308" s="455"/>
      <c r="U308" s="455"/>
      <c r="V308" s="455"/>
      <c r="W308" s="455"/>
      <c r="X308" s="455"/>
      <c r="Y308" s="455"/>
      <c r="Z308" s="455"/>
      <c r="AA308" s="455"/>
      <c r="AB308" s="455"/>
    </row>
    <row r="309" spans="8:28" s="439" customFormat="1" ht="10.5">
      <c r="H309" s="455"/>
      <c r="I309" s="455"/>
      <c r="J309" s="455"/>
      <c r="K309" s="455"/>
      <c r="L309" s="455"/>
      <c r="M309" s="455"/>
      <c r="N309" s="455"/>
      <c r="O309" s="455"/>
      <c r="P309" s="455"/>
      <c r="Q309" s="455"/>
      <c r="R309" s="455"/>
      <c r="S309" s="455"/>
      <c r="T309" s="455"/>
      <c r="U309" s="455"/>
      <c r="V309" s="455"/>
      <c r="W309" s="455"/>
      <c r="X309" s="455"/>
      <c r="Y309" s="455"/>
      <c r="Z309" s="455"/>
      <c r="AA309" s="455"/>
      <c r="AB309" s="455"/>
    </row>
    <row r="310" spans="8:28" s="439" customFormat="1" ht="10.5">
      <c r="H310" s="455"/>
      <c r="I310" s="455"/>
      <c r="J310" s="455"/>
      <c r="K310" s="455"/>
      <c r="L310" s="455"/>
      <c r="M310" s="455"/>
      <c r="N310" s="455"/>
      <c r="O310" s="455"/>
      <c r="P310" s="455"/>
      <c r="Q310" s="455"/>
      <c r="R310" s="455"/>
      <c r="S310" s="455"/>
      <c r="T310" s="455"/>
      <c r="U310" s="455"/>
      <c r="V310" s="455"/>
      <c r="W310" s="455"/>
      <c r="X310" s="455"/>
      <c r="Y310" s="455"/>
      <c r="Z310" s="455"/>
      <c r="AA310" s="455"/>
      <c r="AB310" s="455"/>
    </row>
    <row r="311" spans="8:28" s="439" customFormat="1" ht="10.5">
      <c r="H311" s="455"/>
      <c r="I311" s="455"/>
      <c r="J311" s="455"/>
      <c r="K311" s="455"/>
      <c r="L311" s="455"/>
      <c r="M311" s="455"/>
      <c r="N311" s="455"/>
      <c r="O311" s="455"/>
      <c r="P311" s="455"/>
      <c r="Q311" s="455"/>
      <c r="R311" s="455"/>
      <c r="S311" s="455"/>
      <c r="T311" s="455"/>
      <c r="U311" s="455"/>
      <c r="V311" s="455"/>
      <c r="W311" s="455"/>
      <c r="X311" s="455"/>
      <c r="Y311" s="455"/>
      <c r="Z311" s="455"/>
      <c r="AA311" s="455"/>
      <c r="AB311" s="455"/>
    </row>
    <row r="312" spans="8:28" s="439" customFormat="1" ht="10.5">
      <c r="H312" s="455"/>
      <c r="I312" s="455"/>
      <c r="J312" s="455"/>
      <c r="K312" s="455"/>
      <c r="L312" s="455"/>
      <c r="M312" s="455"/>
      <c r="N312" s="455"/>
      <c r="O312" s="455"/>
      <c r="P312" s="455"/>
      <c r="Q312" s="455"/>
      <c r="R312" s="455"/>
      <c r="S312" s="455"/>
      <c r="T312" s="455"/>
      <c r="U312" s="455"/>
      <c r="V312" s="455"/>
      <c r="W312" s="455"/>
      <c r="X312" s="455"/>
      <c r="Y312" s="455"/>
      <c r="Z312" s="455"/>
      <c r="AA312" s="455"/>
      <c r="AB312" s="455"/>
    </row>
    <row r="313" spans="8:28" s="439" customFormat="1" ht="10.5">
      <c r="H313" s="455"/>
      <c r="I313" s="455"/>
      <c r="J313" s="455"/>
      <c r="K313" s="455"/>
      <c r="L313" s="455"/>
      <c r="M313" s="455"/>
      <c r="N313" s="455"/>
      <c r="O313" s="455"/>
      <c r="P313" s="455"/>
      <c r="Q313" s="455"/>
      <c r="R313" s="455"/>
      <c r="S313" s="455"/>
      <c r="T313" s="455"/>
      <c r="U313" s="455"/>
      <c r="V313" s="455"/>
      <c r="W313" s="455"/>
      <c r="X313" s="455"/>
      <c r="Y313" s="455"/>
      <c r="Z313" s="455"/>
      <c r="AA313" s="455"/>
      <c r="AB313" s="455"/>
    </row>
    <row r="314" spans="8:28" s="439" customFormat="1" ht="10.5">
      <c r="H314" s="455"/>
      <c r="I314" s="455"/>
      <c r="J314" s="455"/>
      <c r="K314" s="455"/>
      <c r="L314" s="455"/>
      <c r="M314" s="455"/>
      <c r="N314" s="455"/>
      <c r="O314" s="455"/>
      <c r="P314" s="455"/>
      <c r="Q314" s="455"/>
      <c r="R314" s="455"/>
      <c r="S314" s="455"/>
      <c r="T314" s="455"/>
      <c r="U314" s="455"/>
      <c r="V314" s="455"/>
      <c r="W314" s="455"/>
      <c r="X314" s="455"/>
      <c r="Y314" s="455"/>
      <c r="Z314" s="455"/>
      <c r="AA314" s="455"/>
      <c r="AB314" s="455"/>
    </row>
    <row r="315" spans="8:28" s="439" customFormat="1" ht="10.5">
      <c r="H315" s="455"/>
      <c r="I315" s="455"/>
      <c r="J315" s="455"/>
      <c r="K315" s="455"/>
      <c r="L315" s="455"/>
      <c r="M315" s="455"/>
      <c r="N315" s="455"/>
      <c r="O315" s="455"/>
      <c r="P315" s="455"/>
      <c r="Q315" s="455"/>
      <c r="R315" s="455"/>
      <c r="S315" s="455"/>
      <c r="T315" s="455"/>
      <c r="U315" s="455"/>
      <c r="V315" s="455"/>
      <c r="W315" s="455"/>
      <c r="X315" s="455"/>
      <c r="Y315" s="455"/>
      <c r="Z315" s="455"/>
      <c r="AA315" s="455"/>
      <c r="AB315" s="455"/>
    </row>
    <row r="316" spans="8:28" s="439" customFormat="1" ht="10.5">
      <c r="H316" s="455"/>
      <c r="I316" s="455"/>
      <c r="J316" s="455"/>
      <c r="K316" s="455"/>
      <c r="L316" s="455"/>
      <c r="M316" s="455"/>
      <c r="N316" s="455"/>
      <c r="O316" s="455"/>
      <c r="P316" s="455"/>
      <c r="Q316" s="455"/>
      <c r="R316" s="455"/>
      <c r="S316" s="455"/>
      <c r="T316" s="455"/>
      <c r="U316" s="455"/>
      <c r="V316" s="455"/>
      <c r="W316" s="455"/>
      <c r="X316" s="455"/>
      <c r="Y316" s="455"/>
      <c r="Z316" s="455"/>
      <c r="AA316" s="455"/>
      <c r="AB316" s="455"/>
    </row>
    <row r="317" spans="8:28" s="439" customFormat="1" ht="10.5">
      <c r="H317" s="455"/>
      <c r="I317" s="455"/>
      <c r="J317" s="455"/>
      <c r="K317" s="455"/>
      <c r="L317" s="455"/>
      <c r="M317" s="455"/>
      <c r="N317" s="455"/>
      <c r="O317" s="455"/>
      <c r="P317" s="455"/>
      <c r="Q317" s="455"/>
      <c r="R317" s="455"/>
      <c r="S317" s="455"/>
      <c r="T317" s="455"/>
      <c r="U317" s="455"/>
      <c r="V317" s="455"/>
      <c r="W317" s="455"/>
      <c r="X317" s="455"/>
      <c r="Y317" s="455"/>
      <c r="Z317" s="455"/>
      <c r="AA317" s="455"/>
      <c r="AB317" s="455"/>
    </row>
    <row r="318" spans="8:28" s="439" customFormat="1" ht="10.5">
      <c r="H318" s="455"/>
      <c r="I318" s="455"/>
      <c r="J318" s="455"/>
      <c r="K318" s="455"/>
      <c r="L318" s="455"/>
      <c r="M318" s="455"/>
      <c r="N318" s="455"/>
      <c r="O318" s="455"/>
      <c r="P318" s="455"/>
      <c r="Q318" s="455"/>
      <c r="R318" s="455"/>
      <c r="S318" s="455"/>
      <c r="T318" s="455"/>
      <c r="U318" s="455"/>
      <c r="V318" s="455"/>
      <c r="W318" s="455"/>
      <c r="X318" s="455"/>
      <c r="Y318" s="455"/>
      <c r="Z318" s="455"/>
      <c r="AA318" s="455"/>
      <c r="AB318" s="455"/>
    </row>
    <row r="319" spans="8:28" s="439" customFormat="1" ht="10.5">
      <c r="H319" s="455"/>
      <c r="I319" s="455"/>
      <c r="J319" s="455"/>
      <c r="K319" s="455"/>
      <c r="L319" s="455"/>
      <c r="M319" s="455"/>
      <c r="N319" s="455"/>
      <c r="O319" s="455"/>
      <c r="P319" s="455"/>
      <c r="Q319" s="455"/>
      <c r="R319" s="455"/>
      <c r="S319" s="455"/>
      <c r="T319" s="455"/>
      <c r="U319" s="455"/>
      <c r="V319" s="455"/>
      <c r="W319" s="455"/>
      <c r="X319" s="455"/>
      <c r="Y319" s="455"/>
      <c r="Z319" s="455"/>
      <c r="AA319" s="455"/>
      <c r="AB319" s="455"/>
    </row>
    <row r="320" spans="8:28" s="439" customFormat="1" ht="10.5">
      <c r="H320" s="455"/>
      <c r="I320" s="455"/>
      <c r="J320" s="455"/>
      <c r="K320" s="455"/>
      <c r="L320" s="455"/>
      <c r="M320" s="455"/>
      <c r="N320" s="455"/>
      <c r="O320" s="455"/>
      <c r="P320" s="455"/>
      <c r="Q320" s="455"/>
      <c r="R320" s="455"/>
      <c r="S320" s="455"/>
      <c r="T320" s="455"/>
      <c r="U320" s="455"/>
      <c r="V320" s="455"/>
      <c r="W320" s="455"/>
      <c r="X320" s="455"/>
      <c r="Y320" s="455"/>
      <c r="Z320" s="455"/>
      <c r="AA320" s="455"/>
      <c r="AB320" s="455"/>
    </row>
    <row r="321" spans="8:28" s="439" customFormat="1" ht="10.5">
      <c r="H321" s="455"/>
      <c r="I321" s="455"/>
      <c r="J321" s="455"/>
      <c r="K321" s="455"/>
      <c r="L321" s="455"/>
      <c r="M321" s="455"/>
      <c r="N321" s="455"/>
      <c r="O321" s="455"/>
      <c r="P321" s="455"/>
      <c r="Q321" s="455"/>
      <c r="R321" s="455"/>
      <c r="S321" s="455"/>
      <c r="T321" s="455"/>
      <c r="U321" s="455"/>
      <c r="V321" s="455"/>
      <c r="W321" s="455"/>
      <c r="X321" s="455"/>
      <c r="Y321" s="455"/>
      <c r="Z321" s="455"/>
      <c r="AA321" s="455"/>
      <c r="AB321" s="455"/>
    </row>
    <row r="322" spans="8:28" s="439" customFormat="1" ht="10.5">
      <c r="H322" s="455"/>
      <c r="I322" s="455"/>
      <c r="J322" s="455"/>
      <c r="K322" s="455"/>
      <c r="L322" s="455"/>
      <c r="M322" s="455"/>
      <c r="N322" s="455"/>
      <c r="O322" s="455"/>
      <c r="P322" s="455"/>
      <c r="Q322" s="455"/>
      <c r="R322" s="455"/>
      <c r="S322" s="455"/>
      <c r="T322" s="455"/>
      <c r="U322" s="455"/>
      <c r="V322" s="455"/>
      <c r="W322" s="455"/>
      <c r="X322" s="455"/>
      <c r="Y322" s="455"/>
      <c r="Z322" s="455"/>
      <c r="AA322" s="455"/>
      <c r="AB322" s="455"/>
    </row>
    <row r="323" spans="8:28" s="439" customFormat="1" ht="10.5">
      <c r="H323" s="455"/>
      <c r="I323" s="455"/>
      <c r="J323" s="455"/>
      <c r="K323" s="455"/>
      <c r="L323" s="455"/>
      <c r="M323" s="455"/>
      <c r="N323" s="455"/>
      <c r="O323" s="455"/>
      <c r="P323" s="455"/>
      <c r="Q323" s="455"/>
      <c r="R323" s="455"/>
      <c r="S323" s="455"/>
      <c r="T323" s="455"/>
      <c r="U323" s="455"/>
      <c r="V323" s="455"/>
      <c r="W323" s="455"/>
      <c r="X323" s="455"/>
      <c r="Y323" s="455"/>
      <c r="Z323" s="455"/>
      <c r="AA323" s="455"/>
      <c r="AB323" s="455"/>
    </row>
    <row r="324" spans="8:28" s="439" customFormat="1" ht="10.5">
      <c r="H324" s="455"/>
      <c r="I324" s="455"/>
      <c r="J324" s="455"/>
      <c r="K324" s="455"/>
      <c r="L324" s="455"/>
      <c r="M324" s="455"/>
      <c r="N324" s="455"/>
      <c r="O324" s="455"/>
      <c r="P324" s="455"/>
      <c r="Q324" s="455"/>
      <c r="R324" s="455"/>
      <c r="S324" s="455"/>
      <c r="T324" s="455"/>
      <c r="U324" s="455"/>
      <c r="V324" s="455"/>
      <c r="W324" s="455"/>
      <c r="X324" s="455"/>
      <c r="Y324" s="455"/>
      <c r="Z324" s="455"/>
      <c r="AA324" s="455"/>
      <c r="AB324" s="455"/>
    </row>
    <row r="325" spans="8:28" s="439" customFormat="1" ht="10.5">
      <c r="H325" s="455"/>
      <c r="I325" s="455"/>
      <c r="J325" s="455"/>
      <c r="K325" s="455"/>
      <c r="L325" s="455"/>
      <c r="M325" s="455"/>
      <c r="N325" s="455"/>
      <c r="O325" s="455"/>
      <c r="P325" s="455"/>
      <c r="Q325" s="455"/>
      <c r="R325" s="455"/>
      <c r="S325" s="455"/>
      <c r="T325" s="455"/>
      <c r="U325" s="455"/>
      <c r="V325" s="455"/>
      <c r="W325" s="455"/>
      <c r="X325" s="455"/>
      <c r="Y325" s="455"/>
      <c r="Z325" s="455"/>
      <c r="AA325" s="455"/>
      <c r="AB325" s="455"/>
    </row>
    <row r="326" spans="8:28" s="439" customFormat="1" ht="10.5"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R326" s="455"/>
      <c r="S326" s="455"/>
      <c r="T326" s="455"/>
      <c r="U326" s="455"/>
      <c r="V326" s="455"/>
      <c r="W326" s="455"/>
      <c r="X326" s="455"/>
      <c r="Y326" s="455"/>
      <c r="Z326" s="455"/>
      <c r="AA326" s="455"/>
      <c r="AB326" s="455"/>
    </row>
    <row r="327" spans="8:28" s="439" customFormat="1" ht="10.5">
      <c r="H327" s="455"/>
      <c r="I327" s="455"/>
      <c r="J327" s="455"/>
      <c r="K327" s="455"/>
      <c r="L327" s="455"/>
      <c r="M327" s="455"/>
      <c r="N327" s="455"/>
      <c r="O327" s="455"/>
      <c r="P327" s="455"/>
      <c r="Q327" s="455"/>
      <c r="R327" s="455"/>
      <c r="S327" s="455"/>
      <c r="T327" s="455"/>
      <c r="U327" s="455"/>
      <c r="V327" s="455"/>
      <c r="W327" s="455"/>
      <c r="X327" s="455"/>
      <c r="Y327" s="455"/>
      <c r="Z327" s="455"/>
      <c r="AA327" s="455"/>
      <c r="AB327" s="455"/>
    </row>
    <row r="328" spans="8:28" s="439" customFormat="1" ht="10.5">
      <c r="H328" s="455"/>
      <c r="I328" s="455"/>
      <c r="J328" s="455"/>
      <c r="K328" s="455"/>
      <c r="L328" s="455"/>
      <c r="M328" s="455"/>
      <c r="N328" s="455"/>
      <c r="O328" s="455"/>
      <c r="P328" s="455"/>
      <c r="Q328" s="455"/>
      <c r="R328" s="455"/>
      <c r="S328" s="455"/>
      <c r="T328" s="455"/>
      <c r="U328" s="455"/>
      <c r="V328" s="455"/>
      <c r="W328" s="455"/>
      <c r="X328" s="455"/>
      <c r="Y328" s="455"/>
      <c r="Z328" s="455"/>
      <c r="AA328" s="455"/>
      <c r="AB328" s="455"/>
    </row>
    <row r="329" spans="8:28" s="439" customFormat="1" ht="10.5">
      <c r="H329" s="455"/>
      <c r="I329" s="455"/>
      <c r="J329" s="455"/>
      <c r="K329" s="455"/>
      <c r="L329" s="455"/>
      <c r="M329" s="455"/>
      <c r="N329" s="455"/>
      <c r="O329" s="455"/>
      <c r="P329" s="455"/>
      <c r="Q329" s="455"/>
      <c r="R329" s="455"/>
      <c r="S329" s="455"/>
      <c r="T329" s="455"/>
      <c r="U329" s="455"/>
      <c r="V329" s="455"/>
      <c r="W329" s="455"/>
      <c r="X329" s="455"/>
      <c r="Y329" s="455"/>
      <c r="Z329" s="455"/>
      <c r="AA329" s="455"/>
      <c r="AB329" s="455"/>
    </row>
    <row r="330" spans="8:28" s="439" customFormat="1" ht="10.5">
      <c r="H330" s="455"/>
      <c r="I330" s="455"/>
      <c r="J330" s="455"/>
      <c r="K330" s="455"/>
      <c r="L330" s="455"/>
      <c r="M330" s="455"/>
      <c r="N330" s="455"/>
      <c r="O330" s="455"/>
      <c r="P330" s="455"/>
      <c r="Q330" s="455"/>
      <c r="R330" s="455"/>
      <c r="S330" s="455"/>
      <c r="T330" s="455"/>
      <c r="U330" s="455"/>
      <c r="V330" s="455"/>
      <c r="W330" s="455"/>
      <c r="X330" s="455"/>
      <c r="Y330" s="455"/>
      <c r="Z330" s="455"/>
      <c r="AA330" s="455"/>
      <c r="AB330" s="455"/>
    </row>
    <row r="331" spans="8:28" s="439" customFormat="1" ht="10.5">
      <c r="H331" s="455"/>
      <c r="I331" s="455"/>
      <c r="J331" s="455"/>
      <c r="K331" s="455"/>
      <c r="L331" s="455"/>
      <c r="M331" s="455"/>
      <c r="N331" s="455"/>
      <c r="O331" s="455"/>
      <c r="P331" s="455"/>
      <c r="Q331" s="455"/>
      <c r="R331" s="455"/>
      <c r="S331" s="455"/>
      <c r="T331" s="455"/>
      <c r="U331" s="455"/>
      <c r="V331" s="455"/>
      <c r="W331" s="455"/>
      <c r="X331" s="455"/>
      <c r="Y331" s="455"/>
      <c r="Z331" s="455"/>
      <c r="AA331" s="455"/>
      <c r="AB331" s="455"/>
    </row>
    <row r="332" spans="8:28" s="439" customFormat="1" ht="10.5">
      <c r="H332" s="455"/>
      <c r="I332" s="455"/>
      <c r="J332" s="455"/>
      <c r="K332" s="455"/>
      <c r="L332" s="455"/>
      <c r="M332" s="455"/>
      <c r="N332" s="455"/>
      <c r="O332" s="455"/>
      <c r="P332" s="455"/>
      <c r="Q332" s="455"/>
      <c r="R332" s="455"/>
      <c r="S332" s="455"/>
      <c r="T332" s="455"/>
      <c r="U332" s="455"/>
      <c r="V332" s="455"/>
      <c r="W332" s="455"/>
      <c r="X332" s="455"/>
      <c r="Y332" s="455"/>
      <c r="Z332" s="455"/>
      <c r="AA332" s="455"/>
      <c r="AB332" s="455"/>
    </row>
    <row r="333" spans="8:28" s="439" customFormat="1" ht="10.5">
      <c r="H333" s="455"/>
      <c r="I333" s="455"/>
      <c r="J333" s="455"/>
      <c r="K333" s="455"/>
      <c r="L333" s="455"/>
      <c r="M333" s="455"/>
      <c r="N333" s="455"/>
      <c r="O333" s="455"/>
      <c r="P333" s="455"/>
      <c r="Q333" s="455"/>
      <c r="R333" s="455"/>
      <c r="S333" s="455"/>
      <c r="T333" s="455"/>
      <c r="U333" s="455"/>
      <c r="V333" s="455"/>
      <c r="W333" s="455"/>
      <c r="X333" s="455"/>
      <c r="Y333" s="455"/>
      <c r="Z333" s="455"/>
      <c r="AA333" s="455"/>
      <c r="AB333" s="455"/>
    </row>
    <row r="334" spans="8:28" s="439" customFormat="1" ht="10.5">
      <c r="H334" s="455"/>
      <c r="I334" s="455"/>
      <c r="J334" s="455"/>
      <c r="K334" s="455"/>
      <c r="L334" s="455"/>
      <c r="M334" s="455"/>
      <c r="N334" s="455"/>
      <c r="O334" s="455"/>
      <c r="P334" s="455"/>
      <c r="Q334" s="455"/>
      <c r="R334" s="455"/>
      <c r="S334" s="455"/>
      <c r="T334" s="455"/>
      <c r="U334" s="455"/>
      <c r="V334" s="455"/>
      <c r="W334" s="455"/>
      <c r="X334" s="455"/>
      <c r="Y334" s="455"/>
      <c r="Z334" s="455"/>
      <c r="AA334" s="455"/>
      <c r="AB334" s="455"/>
    </row>
    <row r="335" spans="8:28" s="439" customFormat="1" ht="10.5">
      <c r="H335" s="455"/>
      <c r="I335" s="455"/>
      <c r="J335" s="455"/>
      <c r="K335" s="455"/>
      <c r="L335" s="455"/>
      <c r="M335" s="455"/>
      <c r="N335" s="455"/>
      <c r="O335" s="455"/>
      <c r="P335" s="455"/>
      <c r="Q335" s="455"/>
      <c r="R335" s="455"/>
      <c r="S335" s="455"/>
      <c r="T335" s="455"/>
      <c r="U335" s="455"/>
      <c r="V335" s="455"/>
      <c r="W335" s="455"/>
      <c r="X335" s="455"/>
      <c r="Y335" s="455"/>
      <c r="Z335" s="455"/>
      <c r="AA335" s="455"/>
      <c r="AB335" s="455"/>
    </row>
    <row r="336" spans="8:28" s="439" customFormat="1" ht="10.5">
      <c r="H336" s="455"/>
      <c r="I336" s="455"/>
      <c r="J336" s="455"/>
      <c r="K336" s="455"/>
      <c r="L336" s="455"/>
      <c r="M336" s="455"/>
      <c r="N336" s="455"/>
      <c r="O336" s="455"/>
      <c r="P336" s="455"/>
      <c r="Q336" s="455"/>
      <c r="R336" s="455"/>
      <c r="S336" s="455"/>
      <c r="T336" s="455"/>
      <c r="U336" s="455"/>
      <c r="V336" s="455"/>
      <c r="W336" s="455"/>
      <c r="X336" s="455"/>
      <c r="Y336" s="455"/>
      <c r="Z336" s="455"/>
      <c r="AA336" s="455"/>
      <c r="AB336" s="455"/>
    </row>
    <row r="337" spans="8:28" s="439" customFormat="1" ht="10.5">
      <c r="H337" s="455"/>
      <c r="I337" s="455"/>
      <c r="J337" s="455"/>
      <c r="K337" s="455"/>
      <c r="L337" s="455"/>
      <c r="M337" s="455"/>
      <c r="N337" s="455"/>
      <c r="O337" s="455"/>
      <c r="P337" s="455"/>
      <c r="Q337" s="455"/>
      <c r="R337" s="455"/>
      <c r="S337" s="455"/>
      <c r="T337" s="455"/>
      <c r="U337" s="455"/>
      <c r="V337" s="455"/>
      <c r="W337" s="455"/>
      <c r="X337" s="455"/>
      <c r="Y337" s="455"/>
      <c r="Z337" s="455"/>
      <c r="AA337" s="455"/>
      <c r="AB337" s="455"/>
    </row>
    <row r="338" spans="8:28" s="439" customFormat="1" ht="10.5">
      <c r="H338" s="455"/>
      <c r="I338" s="455"/>
      <c r="J338" s="455"/>
      <c r="K338" s="455"/>
      <c r="L338" s="455"/>
      <c r="M338" s="455"/>
      <c r="N338" s="455"/>
      <c r="O338" s="455"/>
      <c r="P338" s="455"/>
      <c r="Q338" s="455"/>
      <c r="R338" s="455"/>
      <c r="S338" s="455"/>
      <c r="T338" s="455"/>
      <c r="U338" s="455"/>
      <c r="V338" s="455"/>
      <c r="W338" s="455"/>
      <c r="X338" s="455"/>
      <c r="Y338" s="455"/>
      <c r="Z338" s="455"/>
      <c r="AA338" s="455"/>
      <c r="AB338" s="455"/>
    </row>
    <row r="339" spans="8:28" s="439" customFormat="1" ht="10.5">
      <c r="H339" s="455"/>
      <c r="I339" s="455"/>
      <c r="J339" s="455"/>
      <c r="K339" s="455"/>
      <c r="L339" s="455"/>
      <c r="M339" s="455"/>
      <c r="N339" s="455"/>
      <c r="O339" s="455"/>
      <c r="P339" s="455"/>
      <c r="Q339" s="455"/>
      <c r="R339" s="455"/>
      <c r="S339" s="455"/>
      <c r="T339" s="455"/>
      <c r="U339" s="455"/>
      <c r="V339" s="455"/>
      <c r="W339" s="455"/>
      <c r="X339" s="455"/>
      <c r="Y339" s="455"/>
      <c r="Z339" s="455"/>
      <c r="AA339" s="455"/>
      <c r="AB339" s="455"/>
    </row>
    <row r="340" spans="8:28" s="439" customFormat="1" ht="10.5">
      <c r="H340" s="455"/>
      <c r="I340" s="455"/>
      <c r="J340" s="455"/>
      <c r="K340" s="455"/>
      <c r="L340" s="455"/>
      <c r="M340" s="455"/>
      <c r="N340" s="455"/>
      <c r="O340" s="455"/>
      <c r="P340" s="455"/>
      <c r="Q340" s="455"/>
      <c r="R340" s="455"/>
      <c r="S340" s="455"/>
      <c r="T340" s="455"/>
      <c r="U340" s="455"/>
      <c r="V340" s="455"/>
      <c r="W340" s="455"/>
      <c r="X340" s="455"/>
      <c r="Y340" s="455"/>
      <c r="Z340" s="455"/>
      <c r="AA340" s="455"/>
      <c r="AB340" s="455"/>
    </row>
    <row r="341" spans="8:28" s="439" customFormat="1" ht="10.5">
      <c r="H341" s="455"/>
      <c r="I341" s="455"/>
      <c r="J341" s="455"/>
      <c r="K341" s="455"/>
      <c r="L341" s="455"/>
      <c r="M341" s="455"/>
      <c r="N341" s="455"/>
      <c r="O341" s="455"/>
      <c r="P341" s="455"/>
      <c r="Q341" s="455"/>
      <c r="R341" s="455"/>
      <c r="S341" s="455"/>
      <c r="T341" s="455"/>
      <c r="U341" s="455"/>
      <c r="V341" s="455"/>
      <c r="W341" s="455"/>
      <c r="X341" s="455"/>
      <c r="Y341" s="455"/>
      <c r="Z341" s="455"/>
      <c r="AA341" s="455"/>
      <c r="AB341" s="455"/>
    </row>
    <row r="342" spans="8:28" s="439" customFormat="1" ht="10.5">
      <c r="H342" s="455"/>
      <c r="I342" s="455"/>
      <c r="J342" s="455"/>
      <c r="K342" s="455"/>
      <c r="L342" s="455"/>
      <c r="M342" s="455"/>
      <c r="N342" s="455"/>
      <c r="O342" s="455"/>
      <c r="P342" s="455"/>
      <c r="Q342" s="455"/>
      <c r="R342" s="455"/>
      <c r="S342" s="455"/>
      <c r="T342" s="455"/>
      <c r="U342" s="455"/>
      <c r="V342" s="455"/>
      <c r="W342" s="455"/>
      <c r="X342" s="455"/>
      <c r="Y342" s="455"/>
      <c r="Z342" s="455"/>
      <c r="AA342" s="455"/>
      <c r="AB342" s="455"/>
    </row>
    <row r="343" spans="8:28" s="439" customFormat="1" ht="10.5">
      <c r="H343" s="455"/>
      <c r="I343" s="455"/>
      <c r="J343" s="455"/>
      <c r="K343" s="455"/>
      <c r="L343" s="455"/>
      <c r="M343" s="455"/>
      <c r="N343" s="455"/>
      <c r="O343" s="455"/>
      <c r="P343" s="455"/>
      <c r="Q343" s="455"/>
      <c r="R343" s="455"/>
      <c r="S343" s="455"/>
      <c r="T343" s="455"/>
      <c r="U343" s="455"/>
      <c r="V343" s="455"/>
      <c r="W343" s="455"/>
      <c r="X343" s="455"/>
      <c r="Y343" s="455"/>
      <c r="Z343" s="455"/>
      <c r="AA343" s="455"/>
      <c r="AB343" s="455"/>
    </row>
    <row r="344" spans="8:28" s="439" customFormat="1" ht="10.5">
      <c r="H344" s="455"/>
      <c r="I344" s="455"/>
      <c r="J344" s="455"/>
      <c r="K344" s="455"/>
      <c r="L344" s="455"/>
      <c r="M344" s="455"/>
      <c r="N344" s="455"/>
      <c r="O344" s="455"/>
      <c r="P344" s="455"/>
      <c r="Q344" s="455"/>
      <c r="R344" s="455"/>
      <c r="S344" s="455"/>
      <c r="T344" s="455"/>
      <c r="U344" s="455"/>
      <c r="V344" s="455"/>
      <c r="W344" s="455"/>
      <c r="X344" s="455"/>
      <c r="Y344" s="455"/>
      <c r="Z344" s="455"/>
      <c r="AA344" s="455"/>
      <c r="AB344" s="455"/>
    </row>
    <row r="345" spans="8:28" s="439" customFormat="1" ht="10.5">
      <c r="H345" s="455"/>
      <c r="I345" s="455"/>
      <c r="J345" s="455"/>
      <c r="K345" s="455"/>
      <c r="L345" s="455"/>
      <c r="M345" s="455"/>
      <c r="N345" s="455"/>
      <c r="O345" s="455"/>
      <c r="P345" s="455"/>
      <c r="Q345" s="455"/>
      <c r="R345" s="455"/>
      <c r="S345" s="455"/>
      <c r="T345" s="455"/>
      <c r="U345" s="455"/>
      <c r="V345" s="455"/>
      <c r="W345" s="455"/>
      <c r="X345" s="455"/>
      <c r="Y345" s="455"/>
      <c r="Z345" s="455"/>
      <c r="AA345" s="455"/>
      <c r="AB345" s="455"/>
    </row>
    <row r="346" spans="8:28" s="439" customFormat="1" ht="10.5">
      <c r="H346" s="455"/>
      <c r="I346" s="455"/>
      <c r="J346" s="455"/>
      <c r="K346" s="455"/>
      <c r="L346" s="455"/>
      <c r="M346" s="455"/>
      <c r="N346" s="455"/>
      <c r="O346" s="455"/>
      <c r="P346" s="455"/>
      <c r="Q346" s="455"/>
      <c r="R346" s="455"/>
      <c r="S346" s="455"/>
      <c r="T346" s="455"/>
      <c r="U346" s="455"/>
      <c r="V346" s="455"/>
      <c r="W346" s="455"/>
      <c r="X346" s="455"/>
      <c r="Y346" s="455"/>
      <c r="Z346" s="455"/>
      <c r="AA346" s="455"/>
      <c r="AB346" s="455"/>
    </row>
    <row r="347" spans="8:28" s="439" customFormat="1" ht="10.5">
      <c r="H347" s="455"/>
      <c r="I347" s="455"/>
      <c r="J347" s="455"/>
      <c r="K347" s="455"/>
      <c r="L347" s="455"/>
      <c r="M347" s="455"/>
      <c r="N347" s="455"/>
      <c r="O347" s="455"/>
      <c r="P347" s="455"/>
      <c r="Q347" s="455"/>
      <c r="R347" s="455"/>
      <c r="S347" s="455"/>
      <c r="T347" s="455"/>
      <c r="U347" s="455"/>
      <c r="V347" s="455"/>
      <c r="W347" s="455"/>
      <c r="X347" s="455"/>
      <c r="Y347" s="455"/>
      <c r="Z347" s="455"/>
      <c r="AA347" s="455"/>
      <c r="AB347" s="455"/>
    </row>
    <row r="348" spans="8:28" s="439" customFormat="1" ht="10.5">
      <c r="H348" s="455"/>
      <c r="I348" s="455"/>
      <c r="J348" s="455"/>
      <c r="K348" s="455"/>
      <c r="L348" s="455"/>
      <c r="M348" s="455"/>
      <c r="N348" s="455"/>
      <c r="O348" s="455"/>
      <c r="P348" s="455"/>
      <c r="Q348" s="455"/>
      <c r="R348" s="455"/>
      <c r="S348" s="455"/>
      <c r="T348" s="455"/>
      <c r="U348" s="455"/>
      <c r="V348" s="455"/>
      <c r="W348" s="455"/>
      <c r="X348" s="455"/>
      <c r="Y348" s="455"/>
      <c r="Z348" s="455"/>
      <c r="AA348" s="455"/>
      <c r="AB348" s="455"/>
    </row>
    <row r="349" spans="8:28" s="439" customFormat="1" ht="10.5">
      <c r="H349" s="455"/>
      <c r="I349" s="455"/>
      <c r="J349" s="455"/>
      <c r="K349" s="455"/>
      <c r="L349" s="455"/>
      <c r="M349" s="455"/>
      <c r="N349" s="455"/>
      <c r="O349" s="455"/>
      <c r="P349" s="455"/>
      <c r="Q349" s="455"/>
      <c r="R349" s="455"/>
      <c r="S349" s="455"/>
      <c r="T349" s="455"/>
      <c r="U349" s="455"/>
      <c r="V349" s="455"/>
      <c r="W349" s="455"/>
      <c r="X349" s="455"/>
      <c r="Y349" s="455"/>
      <c r="Z349" s="455"/>
      <c r="AA349" s="455"/>
      <c r="AB349" s="455"/>
    </row>
    <row r="350" spans="8:28" s="439" customFormat="1" ht="10.5">
      <c r="H350" s="455"/>
      <c r="I350" s="455"/>
      <c r="J350" s="455"/>
      <c r="K350" s="455"/>
      <c r="L350" s="455"/>
      <c r="M350" s="455"/>
      <c r="N350" s="455"/>
      <c r="O350" s="455"/>
      <c r="P350" s="455"/>
      <c r="Q350" s="455"/>
      <c r="R350" s="455"/>
      <c r="S350" s="455"/>
      <c r="T350" s="455"/>
      <c r="U350" s="455"/>
      <c r="V350" s="455"/>
      <c r="W350" s="455"/>
      <c r="X350" s="455"/>
      <c r="Y350" s="455"/>
      <c r="Z350" s="455"/>
      <c r="AA350" s="455"/>
      <c r="AB350" s="455"/>
    </row>
    <row r="351" spans="8:28" s="439" customFormat="1" ht="10.5">
      <c r="H351" s="455"/>
      <c r="I351" s="455"/>
      <c r="J351" s="455"/>
      <c r="K351" s="455"/>
      <c r="L351" s="455"/>
      <c r="M351" s="455"/>
      <c r="N351" s="455"/>
      <c r="O351" s="455"/>
      <c r="P351" s="455"/>
      <c r="Q351" s="455"/>
      <c r="R351" s="455"/>
      <c r="S351" s="455"/>
      <c r="T351" s="455"/>
      <c r="U351" s="455"/>
      <c r="V351" s="455"/>
      <c r="W351" s="455"/>
      <c r="X351" s="455"/>
      <c r="Y351" s="455"/>
      <c r="Z351" s="455"/>
      <c r="AA351" s="455"/>
      <c r="AB351" s="455"/>
    </row>
    <row r="352" spans="8:28" s="439" customFormat="1" ht="10.5">
      <c r="H352" s="455"/>
      <c r="I352" s="455"/>
      <c r="J352" s="455"/>
      <c r="K352" s="455"/>
      <c r="L352" s="455"/>
      <c r="M352" s="455"/>
      <c r="N352" s="455"/>
      <c r="O352" s="455"/>
      <c r="P352" s="455"/>
      <c r="Q352" s="455"/>
      <c r="R352" s="455"/>
      <c r="S352" s="455"/>
      <c r="T352" s="455"/>
      <c r="U352" s="455"/>
      <c r="V352" s="455"/>
      <c r="W352" s="455"/>
      <c r="X352" s="455"/>
      <c r="Y352" s="455"/>
      <c r="Z352" s="455"/>
      <c r="AA352" s="455"/>
      <c r="AB352" s="455"/>
    </row>
    <row r="353" spans="8:28" s="439" customFormat="1" ht="10.5">
      <c r="H353" s="455"/>
      <c r="I353" s="455"/>
      <c r="J353" s="455"/>
      <c r="K353" s="455"/>
      <c r="L353" s="455"/>
      <c r="M353" s="455"/>
      <c r="N353" s="455"/>
      <c r="O353" s="455"/>
      <c r="P353" s="455"/>
      <c r="Q353" s="455"/>
      <c r="R353" s="455"/>
      <c r="S353" s="455"/>
      <c r="T353" s="455"/>
      <c r="U353" s="455"/>
      <c r="V353" s="455"/>
      <c r="W353" s="455"/>
      <c r="X353" s="455"/>
      <c r="Y353" s="455"/>
      <c r="Z353" s="455"/>
      <c r="AA353" s="455"/>
      <c r="AB353" s="455"/>
    </row>
    <row r="354" spans="8:28" s="439" customFormat="1" ht="10.5">
      <c r="H354" s="455"/>
      <c r="I354" s="455"/>
      <c r="J354" s="455"/>
      <c r="K354" s="455"/>
      <c r="L354" s="455"/>
      <c r="M354" s="455"/>
      <c r="N354" s="455"/>
      <c r="O354" s="455"/>
      <c r="P354" s="455"/>
      <c r="Q354" s="455"/>
      <c r="R354" s="455"/>
      <c r="S354" s="455"/>
      <c r="T354" s="455"/>
      <c r="U354" s="455"/>
      <c r="V354" s="455"/>
      <c r="W354" s="455"/>
      <c r="X354" s="455"/>
      <c r="Y354" s="455"/>
      <c r="Z354" s="455"/>
      <c r="AA354" s="455"/>
      <c r="AB354" s="455"/>
    </row>
    <row r="355" spans="8:28" s="439" customFormat="1" ht="10.5">
      <c r="H355" s="455"/>
      <c r="I355" s="455"/>
      <c r="J355" s="455"/>
      <c r="K355" s="455"/>
      <c r="L355" s="455"/>
      <c r="M355" s="455"/>
      <c r="N355" s="455"/>
      <c r="O355" s="455"/>
      <c r="P355" s="455"/>
      <c r="Q355" s="455"/>
      <c r="R355" s="455"/>
      <c r="S355" s="455"/>
      <c r="T355" s="455"/>
      <c r="U355" s="455"/>
      <c r="V355" s="455"/>
      <c r="W355" s="455"/>
      <c r="X355" s="455"/>
      <c r="Y355" s="455"/>
      <c r="Z355" s="455"/>
      <c r="AA355" s="455"/>
      <c r="AB355" s="455"/>
    </row>
    <row r="356" spans="8:28" s="439" customFormat="1" ht="10.5">
      <c r="H356" s="455"/>
      <c r="I356" s="455"/>
      <c r="J356" s="455"/>
      <c r="K356" s="455"/>
      <c r="L356" s="455"/>
      <c r="M356" s="455"/>
      <c r="N356" s="455"/>
      <c r="O356" s="455"/>
      <c r="P356" s="455"/>
      <c r="Q356" s="455"/>
      <c r="R356" s="455"/>
      <c r="S356" s="455"/>
      <c r="T356" s="455"/>
      <c r="U356" s="455"/>
      <c r="V356" s="455"/>
      <c r="W356" s="455"/>
      <c r="X356" s="455"/>
      <c r="Y356" s="455"/>
      <c r="Z356" s="455"/>
      <c r="AA356" s="455"/>
      <c r="AB356" s="455"/>
    </row>
    <row r="357" spans="8:28" s="439" customFormat="1" ht="10.5">
      <c r="H357" s="455"/>
      <c r="I357" s="455"/>
      <c r="J357" s="455"/>
      <c r="K357" s="455"/>
      <c r="L357" s="455"/>
      <c r="M357" s="455"/>
      <c r="N357" s="455"/>
      <c r="O357" s="455"/>
      <c r="P357" s="455"/>
      <c r="Q357" s="455"/>
      <c r="R357" s="455"/>
      <c r="S357" s="455"/>
      <c r="T357" s="455"/>
      <c r="U357" s="455"/>
      <c r="V357" s="455"/>
      <c r="W357" s="455"/>
      <c r="X357" s="455"/>
      <c r="Y357" s="455"/>
      <c r="Z357" s="455"/>
      <c r="AA357" s="455"/>
      <c r="AB357" s="455"/>
    </row>
    <row r="358" spans="8:28" s="439" customFormat="1" ht="10.5">
      <c r="H358" s="455"/>
      <c r="I358" s="455"/>
      <c r="J358" s="455"/>
      <c r="K358" s="455"/>
      <c r="L358" s="455"/>
      <c r="M358" s="455"/>
      <c r="N358" s="455"/>
      <c r="O358" s="455"/>
      <c r="P358" s="455"/>
      <c r="Q358" s="455"/>
      <c r="R358" s="455"/>
      <c r="S358" s="455"/>
      <c r="T358" s="455"/>
      <c r="U358" s="455"/>
      <c r="V358" s="455"/>
      <c r="W358" s="455"/>
      <c r="X358" s="455"/>
      <c r="Y358" s="455"/>
      <c r="Z358" s="455"/>
      <c r="AA358" s="455"/>
      <c r="AB358" s="455"/>
    </row>
    <row r="359" spans="8:28" s="439" customFormat="1" ht="10.5">
      <c r="H359" s="455"/>
      <c r="I359" s="455"/>
      <c r="J359" s="455"/>
      <c r="K359" s="455"/>
      <c r="L359" s="455"/>
      <c r="M359" s="455"/>
      <c r="N359" s="455"/>
      <c r="O359" s="455"/>
      <c r="P359" s="455"/>
      <c r="Q359" s="455"/>
      <c r="R359" s="455"/>
      <c r="S359" s="455"/>
      <c r="T359" s="455"/>
      <c r="U359" s="455"/>
      <c r="V359" s="455"/>
      <c r="W359" s="455"/>
      <c r="X359" s="455"/>
      <c r="Y359" s="455"/>
      <c r="Z359" s="455"/>
      <c r="AA359" s="455"/>
      <c r="AB359" s="455"/>
    </row>
    <row r="360" spans="8:28" s="439" customFormat="1" ht="10.5">
      <c r="H360" s="455"/>
      <c r="I360" s="455"/>
      <c r="J360" s="455"/>
      <c r="K360" s="455"/>
      <c r="L360" s="455"/>
      <c r="M360" s="455"/>
      <c r="N360" s="455"/>
      <c r="O360" s="455"/>
      <c r="P360" s="455"/>
      <c r="Q360" s="455"/>
      <c r="R360" s="455"/>
      <c r="S360" s="455"/>
      <c r="T360" s="455"/>
      <c r="U360" s="455"/>
      <c r="V360" s="455"/>
      <c r="W360" s="455"/>
      <c r="X360" s="455"/>
      <c r="Y360" s="455"/>
      <c r="Z360" s="455"/>
      <c r="AA360" s="455"/>
      <c r="AB360" s="455"/>
    </row>
    <row r="361" spans="8:28" s="439" customFormat="1" ht="10.5">
      <c r="H361" s="455"/>
      <c r="I361" s="455"/>
      <c r="J361" s="455"/>
      <c r="K361" s="455"/>
      <c r="L361" s="455"/>
      <c r="M361" s="455"/>
      <c r="N361" s="455"/>
      <c r="O361" s="455"/>
      <c r="P361" s="455"/>
      <c r="Q361" s="455"/>
      <c r="R361" s="455"/>
      <c r="S361" s="455"/>
      <c r="T361" s="455"/>
      <c r="U361" s="455"/>
      <c r="V361" s="455"/>
      <c r="W361" s="455"/>
      <c r="X361" s="455"/>
      <c r="Y361" s="455"/>
      <c r="Z361" s="455"/>
      <c r="AA361" s="455"/>
      <c r="AB361" s="455"/>
    </row>
    <row r="362" spans="8:28" s="439" customFormat="1" ht="10.5">
      <c r="H362" s="455"/>
      <c r="I362" s="455"/>
      <c r="J362" s="455"/>
      <c r="K362" s="455"/>
      <c r="L362" s="455"/>
      <c r="M362" s="455"/>
      <c r="N362" s="455"/>
      <c r="O362" s="455"/>
      <c r="P362" s="455"/>
      <c r="Q362" s="455"/>
      <c r="R362" s="455"/>
      <c r="S362" s="455"/>
      <c r="T362" s="455"/>
      <c r="U362" s="455"/>
      <c r="V362" s="455"/>
      <c r="W362" s="455"/>
      <c r="X362" s="455"/>
      <c r="Y362" s="455"/>
      <c r="Z362" s="455"/>
      <c r="AA362" s="455"/>
      <c r="AB362" s="455"/>
    </row>
    <row r="363" spans="8:28" s="439" customFormat="1" ht="10.5">
      <c r="H363" s="455"/>
      <c r="I363" s="455"/>
      <c r="J363" s="455"/>
      <c r="K363" s="455"/>
      <c r="L363" s="455"/>
      <c r="M363" s="455"/>
      <c r="N363" s="455"/>
      <c r="O363" s="455"/>
      <c r="P363" s="455"/>
      <c r="Q363" s="455"/>
      <c r="R363" s="455"/>
      <c r="S363" s="455"/>
      <c r="T363" s="455"/>
      <c r="U363" s="455"/>
      <c r="V363" s="455"/>
      <c r="W363" s="455"/>
      <c r="X363" s="455"/>
      <c r="Y363" s="455"/>
      <c r="Z363" s="455"/>
      <c r="AA363" s="455"/>
      <c r="AB363" s="455"/>
    </row>
    <row r="364" spans="8:28" s="439" customFormat="1" ht="10.5">
      <c r="H364" s="455"/>
      <c r="I364" s="455"/>
      <c r="J364" s="455"/>
      <c r="K364" s="455"/>
      <c r="L364" s="455"/>
      <c r="M364" s="455"/>
      <c r="N364" s="455"/>
      <c r="O364" s="455"/>
      <c r="P364" s="455"/>
      <c r="Q364" s="455"/>
      <c r="R364" s="455"/>
      <c r="S364" s="455"/>
      <c r="T364" s="455"/>
      <c r="U364" s="455"/>
      <c r="V364" s="455"/>
      <c r="W364" s="455"/>
      <c r="X364" s="455"/>
      <c r="Y364" s="455"/>
      <c r="Z364" s="455"/>
      <c r="AA364" s="455"/>
      <c r="AB364" s="455"/>
    </row>
    <row r="365" spans="8:28" s="439" customFormat="1" ht="10.5">
      <c r="H365" s="455"/>
      <c r="I365" s="455"/>
      <c r="J365" s="455"/>
      <c r="K365" s="455"/>
      <c r="L365" s="455"/>
      <c r="M365" s="455"/>
      <c r="N365" s="455"/>
      <c r="O365" s="455"/>
      <c r="P365" s="455"/>
      <c r="Q365" s="455"/>
      <c r="R365" s="455"/>
      <c r="S365" s="455"/>
      <c r="T365" s="455"/>
      <c r="U365" s="455"/>
      <c r="V365" s="455"/>
      <c r="W365" s="455"/>
      <c r="X365" s="455"/>
      <c r="Y365" s="455"/>
      <c r="Z365" s="455"/>
      <c r="AA365" s="455"/>
      <c r="AB365" s="455"/>
    </row>
    <row r="366" spans="8:28" s="439" customFormat="1" ht="10.5">
      <c r="H366" s="455"/>
      <c r="I366" s="455"/>
      <c r="J366" s="455"/>
      <c r="K366" s="455"/>
      <c r="L366" s="455"/>
      <c r="M366" s="455"/>
      <c r="N366" s="455"/>
      <c r="O366" s="455"/>
      <c r="P366" s="455"/>
      <c r="Q366" s="455"/>
      <c r="R366" s="455"/>
      <c r="S366" s="455"/>
      <c r="T366" s="455"/>
      <c r="U366" s="455"/>
      <c r="V366" s="455"/>
      <c r="W366" s="455"/>
      <c r="X366" s="455"/>
      <c r="Y366" s="455"/>
      <c r="Z366" s="455"/>
      <c r="AA366" s="455"/>
      <c r="AB366" s="455"/>
    </row>
    <row r="367" spans="8:28" s="439" customFormat="1" ht="10.5">
      <c r="H367" s="455"/>
      <c r="I367" s="455"/>
      <c r="J367" s="455"/>
      <c r="K367" s="455"/>
      <c r="L367" s="455"/>
      <c r="M367" s="455"/>
      <c r="N367" s="455"/>
      <c r="O367" s="455"/>
      <c r="P367" s="455"/>
      <c r="Q367" s="455"/>
      <c r="R367" s="455"/>
      <c r="S367" s="455"/>
      <c r="T367" s="455"/>
      <c r="U367" s="455"/>
      <c r="V367" s="455"/>
      <c r="W367" s="455"/>
      <c r="X367" s="455"/>
      <c r="Y367" s="455"/>
      <c r="Z367" s="455"/>
      <c r="AA367" s="455"/>
      <c r="AB367" s="455"/>
    </row>
    <row r="368" spans="8:28" s="439" customFormat="1" ht="10.5">
      <c r="H368" s="455"/>
      <c r="I368" s="455"/>
      <c r="J368" s="455"/>
      <c r="K368" s="455"/>
      <c r="L368" s="455"/>
      <c r="M368" s="455"/>
      <c r="N368" s="455"/>
      <c r="O368" s="455"/>
      <c r="P368" s="455"/>
      <c r="Q368" s="455"/>
      <c r="R368" s="455"/>
      <c r="S368" s="455"/>
      <c r="T368" s="455"/>
      <c r="U368" s="455"/>
      <c r="V368" s="455"/>
      <c r="W368" s="455"/>
      <c r="X368" s="455"/>
      <c r="Y368" s="455"/>
      <c r="Z368" s="455"/>
      <c r="AA368" s="455"/>
      <c r="AB368" s="455"/>
    </row>
    <row r="369" spans="8:28" s="439" customFormat="1" ht="10.5">
      <c r="H369" s="455"/>
      <c r="I369" s="455"/>
      <c r="J369" s="455"/>
      <c r="K369" s="455"/>
      <c r="L369" s="455"/>
      <c r="M369" s="455"/>
      <c r="N369" s="455"/>
      <c r="O369" s="455"/>
      <c r="P369" s="455"/>
      <c r="Q369" s="455"/>
      <c r="R369" s="455"/>
      <c r="S369" s="455"/>
      <c r="T369" s="455"/>
      <c r="U369" s="455"/>
      <c r="V369" s="455"/>
      <c r="W369" s="455"/>
      <c r="X369" s="455"/>
      <c r="Y369" s="455"/>
      <c r="Z369" s="455"/>
      <c r="AA369" s="455"/>
      <c r="AB369" s="455"/>
    </row>
    <row r="370" spans="8:28" s="439" customFormat="1" ht="10.5">
      <c r="H370" s="455"/>
      <c r="I370" s="455"/>
      <c r="J370" s="455"/>
      <c r="K370" s="455"/>
      <c r="L370" s="455"/>
      <c r="M370" s="455"/>
      <c r="N370" s="455"/>
      <c r="O370" s="455"/>
      <c r="P370" s="455"/>
      <c r="Q370" s="455"/>
      <c r="R370" s="455"/>
      <c r="S370" s="455"/>
      <c r="T370" s="455"/>
      <c r="U370" s="455"/>
      <c r="V370" s="455"/>
      <c r="W370" s="455"/>
      <c r="X370" s="455"/>
      <c r="Y370" s="455"/>
      <c r="Z370" s="455"/>
      <c r="AA370" s="455"/>
      <c r="AB370" s="455"/>
    </row>
    <row r="371" spans="8:28" s="439" customFormat="1" ht="10.5">
      <c r="H371" s="455"/>
      <c r="I371" s="455"/>
      <c r="J371" s="455"/>
      <c r="K371" s="455"/>
      <c r="L371" s="455"/>
      <c r="M371" s="455"/>
      <c r="N371" s="455"/>
      <c r="O371" s="455"/>
      <c r="P371" s="455"/>
      <c r="Q371" s="455"/>
      <c r="R371" s="455"/>
      <c r="S371" s="455"/>
      <c r="T371" s="455"/>
      <c r="U371" s="455"/>
      <c r="V371" s="455"/>
      <c r="W371" s="455"/>
      <c r="X371" s="455"/>
      <c r="Y371" s="455"/>
      <c r="Z371" s="455"/>
      <c r="AA371" s="455"/>
      <c r="AB371" s="455"/>
    </row>
    <row r="372" spans="8:28" s="439" customFormat="1" ht="10.5">
      <c r="H372" s="455"/>
      <c r="I372" s="455"/>
      <c r="J372" s="455"/>
      <c r="K372" s="455"/>
      <c r="L372" s="455"/>
      <c r="M372" s="455"/>
      <c r="N372" s="455"/>
      <c r="O372" s="455"/>
      <c r="P372" s="455"/>
      <c r="Q372" s="455"/>
      <c r="R372" s="455"/>
      <c r="S372" s="455"/>
      <c r="T372" s="455"/>
      <c r="U372" s="455"/>
      <c r="V372" s="455"/>
      <c r="W372" s="455"/>
      <c r="X372" s="455"/>
      <c r="Y372" s="455"/>
      <c r="Z372" s="455"/>
      <c r="AA372" s="455"/>
      <c r="AB372" s="455"/>
    </row>
    <row r="373" spans="8:28" s="439" customFormat="1" ht="10.5">
      <c r="H373" s="455"/>
      <c r="I373" s="455"/>
      <c r="J373" s="455"/>
      <c r="K373" s="455"/>
      <c r="L373" s="455"/>
      <c r="M373" s="455"/>
      <c r="N373" s="455"/>
      <c r="O373" s="455"/>
      <c r="P373" s="455"/>
      <c r="Q373" s="455"/>
      <c r="R373" s="455"/>
      <c r="S373" s="455"/>
      <c r="T373" s="455"/>
      <c r="U373" s="455"/>
      <c r="V373" s="455"/>
      <c r="W373" s="455"/>
      <c r="X373" s="455"/>
      <c r="Y373" s="455"/>
      <c r="Z373" s="455"/>
      <c r="AA373" s="455"/>
      <c r="AB373" s="455"/>
    </row>
    <row r="374" spans="8:28" s="439" customFormat="1" ht="10.5">
      <c r="H374" s="455"/>
      <c r="I374" s="455"/>
      <c r="J374" s="455"/>
      <c r="K374" s="455"/>
      <c r="L374" s="455"/>
      <c r="M374" s="455"/>
      <c r="N374" s="455"/>
      <c r="O374" s="455"/>
      <c r="P374" s="455"/>
      <c r="Q374" s="455"/>
      <c r="R374" s="455"/>
      <c r="S374" s="455"/>
      <c r="T374" s="455"/>
      <c r="U374" s="455"/>
      <c r="V374" s="455"/>
      <c r="W374" s="455"/>
      <c r="X374" s="455"/>
      <c r="Y374" s="455"/>
      <c r="Z374" s="455"/>
      <c r="AA374" s="455"/>
      <c r="AB374" s="455"/>
    </row>
    <row r="375" spans="8:28" s="439" customFormat="1" ht="10.5">
      <c r="H375" s="455"/>
      <c r="I375" s="455"/>
      <c r="J375" s="455"/>
      <c r="K375" s="455"/>
      <c r="L375" s="455"/>
      <c r="M375" s="455"/>
      <c r="N375" s="455"/>
      <c r="O375" s="455"/>
      <c r="P375" s="455"/>
      <c r="Q375" s="455"/>
      <c r="R375" s="455"/>
      <c r="S375" s="455"/>
      <c r="T375" s="455"/>
      <c r="U375" s="455"/>
      <c r="V375" s="455"/>
      <c r="W375" s="455"/>
      <c r="X375" s="455"/>
      <c r="Y375" s="455"/>
      <c r="Z375" s="455"/>
      <c r="AA375" s="455"/>
      <c r="AB375" s="455"/>
    </row>
    <row r="376" spans="8:28" s="439" customFormat="1" ht="10.5">
      <c r="H376" s="455"/>
      <c r="I376" s="455"/>
      <c r="J376" s="455"/>
      <c r="K376" s="455"/>
      <c r="L376" s="455"/>
      <c r="M376" s="455"/>
      <c r="N376" s="455"/>
      <c r="O376" s="455"/>
      <c r="P376" s="455"/>
      <c r="Q376" s="455"/>
      <c r="R376" s="455"/>
      <c r="S376" s="455"/>
      <c r="T376" s="455"/>
      <c r="U376" s="455"/>
      <c r="V376" s="455"/>
      <c r="W376" s="455"/>
      <c r="X376" s="455"/>
      <c r="Y376" s="455"/>
      <c r="Z376" s="455"/>
      <c r="AA376" s="455"/>
      <c r="AB376" s="455"/>
    </row>
    <row r="377" spans="8:28" s="439" customFormat="1" ht="10.5">
      <c r="H377" s="455"/>
      <c r="I377" s="455"/>
      <c r="J377" s="455"/>
      <c r="K377" s="455"/>
      <c r="L377" s="455"/>
      <c r="M377" s="455"/>
      <c r="N377" s="455"/>
      <c r="O377" s="455"/>
      <c r="P377" s="455"/>
      <c r="Q377" s="455"/>
      <c r="R377" s="455"/>
      <c r="S377" s="455"/>
      <c r="T377" s="455"/>
      <c r="U377" s="455"/>
      <c r="V377" s="455"/>
      <c r="W377" s="455"/>
      <c r="X377" s="455"/>
      <c r="Y377" s="455"/>
      <c r="Z377" s="455"/>
      <c r="AA377" s="455"/>
      <c r="AB377" s="455"/>
    </row>
    <row r="378" spans="8:28" s="439" customFormat="1" ht="10.5">
      <c r="H378" s="455"/>
      <c r="I378" s="455"/>
      <c r="J378" s="455"/>
      <c r="K378" s="455"/>
      <c r="L378" s="455"/>
      <c r="M378" s="455"/>
      <c r="N378" s="455"/>
      <c r="O378" s="455"/>
      <c r="P378" s="455"/>
      <c r="Q378" s="455"/>
      <c r="R378" s="455"/>
      <c r="S378" s="455"/>
      <c r="T378" s="455"/>
      <c r="U378" s="455"/>
      <c r="V378" s="455"/>
      <c r="W378" s="455"/>
      <c r="X378" s="455"/>
      <c r="Y378" s="455"/>
      <c r="Z378" s="455"/>
      <c r="AA378" s="455"/>
      <c r="AB378" s="455"/>
    </row>
    <row r="379" spans="8:28" s="439" customFormat="1" ht="10.5">
      <c r="H379" s="455"/>
      <c r="I379" s="455"/>
      <c r="J379" s="455"/>
      <c r="K379" s="455"/>
      <c r="L379" s="455"/>
      <c r="M379" s="455"/>
      <c r="N379" s="455"/>
      <c r="O379" s="455"/>
      <c r="P379" s="455"/>
      <c r="Q379" s="455"/>
      <c r="R379" s="455"/>
      <c r="S379" s="455"/>
      <c r="T379" s="455"/>
      <c r="U379" s="455"/>
      <c r="V379" s="455"/>
      <c r="W379" s="455"/>
      <c r="X379" s="455"/>
      <c r="Y379" s="455"/>
      <c r="Z379" s="455"/>
      <c r="AA379" s="455"/>
      <c r="AB379" s="455"/>
    </row>
    <row r="380" spans="8:28" s="439" customFormat="1" ht="10.5">
      <c r="H380" s="455"/>
      <c r="I380" s="455"/>
      <c r="J380" s="455"/>
      <c r="K380" s="455"/>
      <c r="L380" s="455"/>
      <c r="M380" s="455"/>
      <c r="N380" s="455"/>
      <c r="O380" s="455"/>
      <c r="P380" s="455"/>
      <c r="Q380" s="455"/>
      <c r="R380" s="455"/>
      <c r="S380" s="455"/>
      <c r="T380" s="455"/>
      <c r="U380" s="455"/>
      <c r="V380" s="455"/>
      <c r="W380" s="455"/>
      <c r="X380" s="455"/>
      <c r="Y380" s="455"/>
      <c r="Z380" s="455"/>
      <c r="AA380" s="455"/>
      <c r="AB380" s="455"/>
    </row>
    <row r="381" spans="8:28" s="439" customFormat="1" ht="10.5">
      <c r="H381" s="455"/>
      <c r="I381" s="455"/>
      <c r="J381" s="455"/>
      <c r="K381" s="455"/>
      <c r="L381" s="455"/>
      <c r="M381" s="455"/>
      <c r="N381" s="455"/>
      <c r="O381" s="455"/>
      <c r="P381" s="455"/>
      <c r="Q381" s="455"/>
      <c r="R381" s="455"/>
      <c r="S381" s="455"/>
      <c r="T381" s="455"/>
      <c r="U381" s="455"/>
      <c r="V381" s="455"/>
      <c r="W381" s="455"/>
      <c r="X381" s="455"/>
      <c r="Y381" s="455"/>
      <c r="Z381" s="455"/>
      <c r="AA381" s="455"/>
      <c r="AB381" s="455"/>
    </row>
    <row r="382" spans="8:28" s="439" customFormat="1" ht="10.5">
      <c r="H382" s="455"/>
      <c r="I382" s="455"/>
      <c r="J382" s="455"/>
      <c r="K382" s="455"/>
      <c r="L382" s="455"/>
      <c r="M382" s="455"/>
      <c r="N382" s="455"/>
      <c r="O382" s="455"/>
      <c r="P382" s="455"/>
      <c r="Q382" s="455"/>
      <c r="R382" s="455"/>
      <c r="S382" s="455"/>
      <c r="T382" s="455"/>
      <c r="U382" s="455"/>
      <c r="V382" s="455"/>
      <c r="W382" s="455"/>
      <c r="X382" s="455"/>
      <c r="Y382" s="455"/>
      <c r="Z382" s="455"/>
      <c r="AA382" s="455"/>
      <c r="AB382" s="455"/>
    </row>
    <row r="383" spans="8:28" s="439" customFormat="1" ht="10.5">
      <c r="H383" s="455"/>
      <c r="I383" s="455"/>
      <c r="J383" s="455"/>
      <c r="K383" s="455"/>
      <c r="L383" s="455"/>
      <c r="M383" s="455"/>
      <c r="N383" s="455"/>
      <c r="O383" s="455"/>
      <c r="P383" s="455"/>
      <c r="Q383" s="455"/>
      <c r="R383" s="455"/>
      <c r="S383" s="455"/>
      <c r="T383" s="455"/>
      <c r="U383" s="455"/>
      <c r="V383" s="455"/>
      <c r="W383" s="455"/>
      <c r="X383" s="455"/>
      <c r="Y383" s="455"/>
      <c r="Z383" s="455"/>
      <c r="AA383" s="455"/>
      <c r="AB383" s="455"/>
    </row>
    <row r="384" spans="8:28" s="439" customFormat="1" ht="10.5">
      <c r="H384" s="455"/>
      <c r="I384" s="455"/>
      <c r="J384" s="455"/>
      <c r="K384" s="455"/>
      <c r="L384" s="455"/>
      <c r="M384" s="455"/>
      <c r="N384" s="455"/>
      <c r="O384" s="455"/>
      <c r="P384" s="455"/>
      <c r="Q384" s="455"/>
      <c r="R384" s="455"/>
      <c r="S384" s="455"/>
      <c r="T384" s="455"/>
      <c r="U384" s="455"/>
      <c r="V384" s="455"/>
      <c r="W384" s="455"/>
      <c r="X384" s="455"/>
      <c r="Y384" s="455"/>
      <c r="Z384" s="455"/>
      <c r="AA384" s="455"/>
      <c r="AB384" s="455"/>
    </row>
    <row r="385" spans="8:28" s="439" customFormat="1" ht="10.5">
      <c r="H385" s="455"/>
      <c r="I385" s="455"/>
      <c r="J385" s="455"/>
      <c r="K385" s="455"/>
      <c r="L385" s="455"/>
      <c r="M385" s="455"/>
      <c r="N385" s="455"/>
      <c r="O385" s="455"/>
      <c r="P385" s="455"/>
      <c r="Q385" s="455"/>
      <c r="R385" s="455"/>
      <c r="S385" s="455"/>
      <c r="T385" s="455"/>
      <c r="U385" s="455"/>
      <c r="V385" s="455"/>
      <c r="W385" s="455"/>
      <c r="X385" s="455"/>
      <c r="Y385" s="455"/>
      <c r="Z385" s="455"/>
      <c r="AA385" s="455"/>
      <c r="AB385" s="455"/>
    </row>
    <row r="386" spans="8:28" s="439" customFormat="1" ht="10.5">
      <c r="H386" s="455"/>
      <c r="I386" s="455"/>
      <c r="J386" s="455"/>
      <c r="K386" s="455"/>
      <c r="L386" s="455"/>
      <c r="M386" s="455"/>
      <c r="N386" s="455"/>
      <c r="O386" s="455"/>
      <c r="P386" s="455"/>
      <c r="Q386" s="455"/>
      <c r="R386" s="455"/>
      <c r="S386" s="455"/>
      <c r="T386" s="455"/>
      <c r="U386" s="455"/>
      <c r="V386" s="455"/>
      <c r="W386" s="455"/>
      <c r="X386" s="455"/>
      <c r="Y386" s="455"/>
      <c r="Z386" s="455"/>
      <c r="AA386" s="455"/>
      <c r="AB386" s="455"/>
    </row>
    <row r="387" spans="8:28" s="439" customFormat="1" ht="10.5">
      <c r="H387" s="455"/>
      <c r="I387" s="455"/>
      <c r="J387" s="455"/>
      <c r="K387" s="455"/>
      <c r="L387" s="455"/>
      <c r="M387" s="455"/>
      <c r="N387" s="455"/>
      <c r="O387" s="455"/>
      <c r="P387" s="455"/>
      <c r="Q387" s="455"/>
      <c r="R387" s="455"/>
      <c r="S387" s="455"/>
      <c r="T387" s="455"/>
      <c r="U387" s="455"/>
      <c r="V387" s="455"/>
      <c r="W387" s="455"/>
      <c r="X387" s="455"/>
      <c r="Y387" s="455"/>
      <c r="Z387" s="455"/>
      <c r="AA387" s="455"/>
      <c r="AB387" s="455"/>
    </row>
    <row r="388" spans="8:28" s="439" customFormat="1" ht="10.5">
      <c r="H388" s="455"/>
      <c r="I388" s="455"/>
      <c r="J388" s="455"/>
      <c r="K388" s="455"/>
      <c r="L388" s="455"/>
      <c r="M388" s="455"/>
      <c r="N388" s="455"/>
      <c r="O388" s="455"/>
      <c r="P388" s="455"/>
      <c r="Q388" s="455"/>
      <c r="R388" s="455"/>
      <c r="S388" s="455"/>
      <c r="T388" s="455"/>
      <c r="U388" s="455"/>
      <c r="V388" s="455"/>
      <c r="W388" s="455"/>
      <c r="X388" s="455"/>
      <c r="Y388" s="455"/>
      <c r="Z388" s="455"/>
      <c r="AA388" s="455"/>
      <c r="AB388" s="455"/>
    </row>
    <row r="389" spans="8:28" s="439" customFormat="1" ht="10.5">
      <c r="H389" s="455"/>
      <c r="I389" s="455"/>
      <c r="J389" s="455"/>
      <c r="K389" s="455"/>
      <c r="L389" s="455"/>
      <c r="M389" s="455"/>
      <c r="N389" s="455"/>
      <c r="O389" s="455"/>
      <c r="P389" s="455"/>
      <c r="Q389" s="455"/>
      <c r="R389" s="455"/>
      <c r="S389" s="455"/>
      <c r="T389" s="455"/>
      <c r="U389" s="455"/>
      <c r="V389" s="455"/>
      <c r="W389" s="455"/>
      <c r="X389" s="455"/>
      <c r="Y389" s="455"/>
      <c r="Z389" s="455"/>
      <c r="AA389" s="455"/>
      <c r="AB389" s="455"/>
    </row>
    <row r="390" spans="8:28" s="439" customFormat="1" ht="10.5">
      <c r="H390" s="455"/>
      <c r="I390" s="455"/>
      <c r="J390" s="455"/>
      <c r="K390" s="455"/>
      <c r="L390" s="455"/>
      <c r="M390" s="455"/>
      <c r="N390" s="455"/>
      <c r="O390" s="455"/>
      <c r="P390" s="455"/>
      <c r="Q390" s="455"/>
      <c r="R390" s="455"/>
      <c r="S390" s="455"/>
      <c r="T390" s="455"/>
      <c r="U390" s="455"/>
      <c r="V390" s="455"/>
      <c r="W390" s="455"/>
      <c r="X390" s="455"/>
      <c r="Y390" s="455"/>
      <c r="Z390" s="455"/>
      <c r="AA390" s="455"/>
      <c r="AB390" s="455"/>
    </row>
    <row r="391" spans="8:28" s="439" customFormat="1" ht="10.5">
      <c r="H391" s="455"/>
      <c r="I391" s="455"/>
      <c r="J391" s="455"/>
      <c r="K391" s="455"/>
      <c r="L391" s="455"/>
      <c r="M391" s="455"/>
      <c r="N391" s="455"/>
      <c r="O391" s="455"/>
      <c r="P391" s="455"/>
      <c r="Q391" s="455"/>
      <c r="R391" s="455"/>
      <c r="S391" s="455"/>
      <c r="T391" s="455"/>
      <c r="U391" s="455"/>
      <c r="V391" s="455"/>
      <c r="W391" s="455"/>
      <c r="X391" s="455"/>
      <c r="Y391" s="455"/>
      <c r="Z391" s="455"/>
      <c r="AA391" s="455"/>
      <c r="AB391" s="455"/>
    </row>
    <row r="392" spans="8:28" s="439" customFormat="1" ht="10.5">
      <c r="H392" s="455"/>
      <c r="I392" s="455"/>
      <c r="J392" s="455"/>
      <c r="K392" s="455"/>
      <c r="L392" s="455"/>
      <c r="M392" s="455"/>
      <c r="N392" s="455"/>
      <c r="O392" s="455"/>
      <c r="P392" s="455"/>
      <c r="Q392" s="455"/>
      <c r="R392" s="455"/>
      <c r="S392" s="455"/>
      <c r="T392" s="455"/>
      <c r="U392" s="455"/>
      <c r="V392" s="455"/>
      <c r="W392" s="455"/>
      <c r="X392" s="455"/>
      <c r="Y392" s="455"/>
      <c r="Z392" s="455"/>
      <c r="AA392" s="455"/>
      <c r="AB392" s="455"/>
    </row>
    <row r="393" spans="8:28" s="439" customFormat="1" ht="10.5">
      <c r="H393" s="455"/>
      <c r="I393" s="455"/>
      <c r="J393" s="455"/>
      <c r="K393" s="455"/>
      <c r="L393" s="455"/>
      <c r="M393" s="455"/>
      <c r="N393" s="455"/>
      <c r="O393" s="455"/>
      <c r="P393" s="455"/>
      <c r="Q393" s="455"/>
      <c r="R393" s="455"/>
      <c r="S393" s="455"/>
      <c r="T393" s="455"/>
      <c r="U393" s="455"/>
      <c r="V393" s="455"/>
      <c r="W393" s="455"/>
      <c r="X393" s="455"/>
      <c r="Y393" s="455"/>
      <c r="Z393" s="455"/>
      <c r="AA393" s="455"/>
      <c r="AB393" s="455"/>
    </row>
    <row r="394" spans="8:28" s="439" customFormat="1" ht="10.5">
      <c r="H394" s="455"/>
      <c r="I394" s="455"/>
      <c r="J394" s="455"/>
      <c r="K394" s="455"/>
      <c r="L394" s="455"/>
      <c r="M394" s="455"/>
      <c r="N394" s="455"/>
      <c r="O394" s="455"/>
      <c r="P394" s="455"/>
      <c r="Q394" s="455"/>
      <c r="R394" s="455"/>
      <c r="S394" s="455"/>
      <c r="T394" s="455"/>
      <c r="U394" s="455"/>
      <c r="V394" s="455"/>
      <c r="W394" s="455"/>
      <c r="X394" s="455"/>
      <c r="Y394" s="455"/>
      <c r="Z394" s="455"/>
      <c r="AA394" s="455"/>
      <c r="AB394" s="455"/>
    </row>
    <row r="395" spans="8:28" s="439" customFormat="1" ht="10.5">
      <c r="H395" s="455"/>
      <c r="I395" s="455"/>
      <c r="J395" s="455"/>
      <c r="K395" s="455"/>
      <c r="L395" s="455"/>
      <c r="M395" s="455"/>
      <c r="N395" s="455"/>
      <c r="O395" s="455"/>
      <c r="P395" s="455"/>
      <c r="Q395" s="455"/>
      <c r="R395" s="455"/>
      <c r="S395" s="455"/>
      <c r="T395" s="455"/>
      <c r="U395" s="455"/>
      <c r="V395" s="455"/>
      <c r="W395" s="455"/>
      <c r="X395" s="455"/>
      <c r="Y395" s="455"/>
      <c r="Z395" s="455"/>
      <c r="AA395" s="455"/>
      <c r="AB395" s="455"/>
    </row>
    <row r="396" spans="8:28" s="439" customFormat="1" ht="10.5">
      <c r="H396" s="455"/>
      <c r="I396" s="455"/>
      <c r="J396" s="455"/>
      <c r="K396" s="455"/>
      <c r="L396" s="455"/>
      <c r="M396" s="455"/>
      <c r="N396" s="455"/>
      <c r="O396" s="455"/>
      <c r="P396" s="455"/>
      <c r="Q396" s="455"/>
      <c r="R396" s="455"/>
      <c r="S396" s="455"/>
      <c r="T396" s="455"/>
      <c r="U396" s="455"/>
      <c r="V396" s="455"/>
      <c r="W396" s="455"/>
      <c r="X396" s="455"/>
      <c r="Y396" s="455"/>
      <c r="Z396" s="455"/>
      <c r="AA396" s="455"/>
      <c r="AB396" s="455"/>
    </row>
    <row r="397" spans="8:28" s="439" customFormat="1" ht="10.5">
      <c r="H397" s="455"/>
      <c r="I397" s="455"/>
      <c r="J397" s="455"/>
      <c r="K397" s="455"/>
      <c r="L397" s="455"/>
      <c r="M397" s="455"/>
      <c r="N397" s="455"/>
      <c r="O397" s="455"/>
      <c r="P397" s="455"/>
      <c r="Q397" s="455"/>
      <c r="R397" s="455"/>
      <c r="S397" s="455"/>
      <c r="T397" s="455"/>
      <c r="U397" s="455"/>
      <c r="V397" s="455"/>
      <c r="W397" s="455"/>
      <c r="X397" s="455"/>
      <c r="Y397" s="455"/>
      <c r="Z397" s="455"/>
      <c r="AA397" s="455"/>
      <c r="AB397" s="455"/>
    </row>
    <row r="398" spans="8:28" s="439" customFormat="1" ht="10.5">
      <c r="H398" s="455"/>
      <c r="I398" s="455"/>
      <c r="J398" s="455"/>
      <c r="K398" s="455"/>
      <c r="L398" s="455"/>
      <c r="M398" s="455"/>
      <c r="N398" s="455"/>
      <c r="O398" s="455"/>
      <c r="P398" s="455"/>
      <c r="Q398" s="455"/>
      <c r="R398" s="455"/>
      <c r="S398" s="455"/>
      <c r="T398" s="455"/>
      <c r="U398" s="455"/>
      <c r="V398" s="455"/>
      <c r="W398" s="455"/>
      <c r="X398" s="455"/>
      <c r="Y398" s="455"/>
      <c r="Z398" s="455"/>
      <c r="AA398" s="455"/>
      <c r="AB398" s="455"/>
    </row>
    <row r="399" spans="8:28" s="439" customFormat="1" ht="10.5">
      <c r="H399" s="455"/>
      <c r="I399" s="455"/>
      <c r="J399" s="455"/>
      <c r="K399" s="455"/>
      <c r="L399" s="455"/>
      <c r="M399" s="455"/>
      <c r="N399" s="455"/>
      <c r="O399" s="455"/>
      <c r="P399" s="455"/>
      <c r="Q399" s="455"/>
      <c r="R399" s="455"/>
      <c r="S399" s="455"/>
      <c r="T399" s="455"/>
      <c r="U399" s="455"/>
      <c r="V399" s="455"/>
      <c r="W399" s="455"/>
      <c r="X399" s="455"/>
      <c r="Y399" s="455"/>
      <c r="Z399" s="455"/>
      <c r="AA399" s="455"/>
      <c r="AB399" s="455"/>
    </row>
    <row r="400" spans="8:28" s="439" customFormat="1" ht="10.5">
      <c r="H400" s="455"/>
      <c r="I400" s="455"/>
      <c r="J400" s="455"/>
      <c r="K400" s="455"/>
      <c r="L400" s="455"/>
      <c r="M400" s="455"/>
      <c r="N400" s="455"/>
      <c r="O400" s="455"/>
      <c r="P400" s="455"/>
      <c r="Q400" s="455"/>
      <c r="R400" s="455"/>
      <c r="S400" s="455"/>
      <c r="T400" s="455"/>
      <c r="U400" s="455"/>
      <c r="V400" s="455"/>
      <c r="W400" s="455"/>
      <c r="X400" s="455"/>
      <c r="Y400" s="455"/>
      <c r="Z400" s="455"/>
      <c r="AA400" s="455"/>
      <c r="AB400" s="455"/>
    </row>
    <row r="401" spans="8:28" s="439" customFormat="1" ht="10.5">
      <c r="H401" s="455"/>
      <c r="I401" s="455"/>
      <c r="J401" s="455"/>
      <c r="K401" s="455"/>
      <c r="L401" s="455"/>
      <c r="M401" s="455"/>
      <c r="N401" s="455"/>
      <c r="O401" s="455"/>
      <c r="P401" s="455"/>
      <c r="Q401" s="455"/>
      <c r="R401" s="455"/>
      <c r="S401" s="455"/>
      <c r="T401" s="455"/>
      <c r="U401" s="455"/>
      <c r="V401" s="455"/>
      <c r="W401" s="455"/>
      <c r="X401" s="455"/>
      <c r="Y401" s="455"/>
      <c r="Z401" s="455"/>
      <c r="AA401" s="455"/>
      <c r="AB401" s="455"/>
    </row>
    <row r="402" spans="8:28" s="439" customFormat="1" ht="10.5">
      <c r="H402" s="455"/>
      <c r="I402" s="455"/>
      <c r="J402" s="455"/>
      <c r="K402" s="455"/>
      <c r="L402" s="455"/>
      <c r="M402" s="455"/>
      <c r="N402" s="455"/>
      <c r="O402" s="455"/>
      <c r="P402" s="455"/>
      <c r="Q402" s="455"/>
      <c r="R402" s="455"/>
      <c r="S402" s="455"/>
      <c r="T402" s="455"/>
      <c r="U402" s="455"/>
      <c r="V402" s="455"/>
      <c r="W402" s="455"/>
      <c r="X402" s="455"/>
      <c r="Y402" s="455"/>
      <c r="Z402" s="455"/>
      <c r="AA402" s="455"/>
      <c r="AB402" s="455"/>
    </row>
    <row r="403" spans="8:28" s="439" customFormat="1" ht="10.5">
      <c r="H403" s="455"/>
      <c r="I403" s="455"/>
      <c r="J403" s="455"/>
      <c r="K403" s="455"/>
      <c r="L403" s="455"/>
      <c r="M403" s="455"/>
      <c r="N403" s="455"/>
      <c r="O403" s="455"/>
      <c r="P403" s="455"/>
      <c r="Q403" s="455"/>
      <c r="R403" s="455"/>
      <c r="S403" s="455"/>
      <c r="T403" s="455"/>
      <c r="U403" s="455"/>
      <c r="V403" s="455"/>
      <c r="W403" s="455"/>
      <c r="X403" s="455"/>
      <c r="Y403" s="455"/>
      <c r="Z403" s="455"/>
      <c r="AA403" s="455"/>
      <c r="AB403" s="455"/>
    </row>
    <row r="404" spans="8:28" s="439" customFormat="1" ht="10.5">
      <c r="H404" s="455"/>
      <c r="I404" s="455"/>
      <c r="J404" s="455"/>
      <c r="K404" s="455"/>
      <c r="L404" s="455"/>
      <c r="M404" s="455"/>
      <c r="N404" s="455"/>
      <c r="O404" s="455"/>
      <c r="P404" s="455"/>
      <c r="Q404" s="455"/>
      <c r="R404" s="455"/>
      <c r="S404" s="455"/>
      <c r="T404" s="455"/>
      <c r="U404" s="455"/>
      <c r="V404" s="455"/>
      <c r="W404" s="455"/>
      <c r="X404" s="455"/>
      <c r="Y404" s="455"/>
      <c r="Z404" s="455"/>
      <c r="AA404" s="455"/>
      <c r="AB404" s="455"/>
    </row>
    <row r="405" spans="8:28" s="439" customFormat="1" ht="10.5">
      <c r="H405" s="455"/>
      <c r="I405" s="455"/>
      <c r="J405" s="455"/>
      <c r="K405" s="455"/>
      <c r="L405" s="455"/>
      <c r="M405" s="455"/>
      <c r="N405" s="455"/>
      <c r="O405" s="455"/>
      <c r="P405" s="455"/>
      <c r="Q405" s="455"/>
      <c r="R405" s="455"/>
      <c r="S405" s="455"/>
      <c r="T405" s="455"/>
      <c r="U405" s="455"/>
      <c r="V405" s="455"/>
      <c r="W405" s="455"/>
      <c r="X405" s="455"/>
      <c r="Y405" s="455"/>
      <c r="Z405" s="455"/>
      <c r="AA405" s="455"/>
      <c r="AB405" s="455"/>
    </row>
    <row r="406" spans="8:28" s="439" customFormat="1" ht="10.5">
      <c r="H406" s="455"/>
      <c r="I406" s="455"/>
      <c r="J406" s="455"/>
      <c r="K406" s="455"/>
      <c r="L406" s="455"/>
      <c r="M406" s="455"/>
      <c r="N406" s="455"/>
      <c r="O406" s="455"/>
      <c r="P406" s="455"/>
      <c r="Q406" s="455"/>
      <c r="R406" s="455"/>
      <c r="S406" s="455"/>
      <c r="T406" s="455"/>
      <c r="U406" s="455"/>
      <c r="V406" s="455"/>
      <c r="W406" s="455"/>
      <c r="X406" s="455"/>
      <c r="Y406" s="455"/>
      <c r="Z406" s="455"/>
      <c r="AA406" s="455"/>
      <c r="AB406" s="455"/>
    </row>
    <row r="407" spans="8:28" s="439" customFormat="1" ht="10.5">
      <c r="H407" s="455"/>
      <c r="I407" s="455"/>
      <c r="J407" s="455"/>
      <c r="K407" s="455"/>
      <c r="L407" s="455"/>
      <c r="M407" s="455"/>
      <c r="N407" s="455"/>
      <c r="O407" s="455"/>
      <c r="P407" s="455"/>
      <c r="Q407" s="455"/>
      <c r="R407" s="455"/>
      <c r="S407" s="455"/>
      <c r="T407" s="455"/>
      <c r="U407" s="455"/>
      <c r="V407" s="455"/>
      <c r="W407" s="455"/>
      <c r="X407" s="455"/>
      <c r="Y407" s="455"/>
      <c r="Z407" s="455"/>
      <c r="AA407" s="455"/>
      <c r="AB407" s="455"/>
    </row>
    <row r="408" spans="8:28" s="439" customFormat="1" ht="10.5">
      <c r="H408" s="455"/>
      <c r="I408" s="455"/>
      <c r="J408" s="455"/>
      <c r="K408" s="455"/>
      <c r="L408" s="455"/>
      <c r="M408" s="455"/>
      <c r="N408" s="455"/>
      <c r="O408" s="455"/>
      <c r="P408" s="455"/>
      <c r="Q408" s="455"/>
      <c r="R408" s="455"/>
      <c r="S408" s="455"/>
      <c r="T408" s="455"/>
      <c r="U408" s="455"/>
      <c r="V408" s="455"/>
      <c r="W408" s="455"/>
      <c r="X408" s="455"/>
      <c r="Y408" s="455"/>
      <c r="Z408" s="455"/>
      <c r="AA408" s="455"/>
      <c r="AB408" s="455"/>
    </row>
    <row r="409" spans="8:28" s="439" customFormat="1" ht="10.5">
      <c r="H409" s="455"/>
      <c r="I409" s="455"/>
      <c r="J409" s="455"/>
      <c r="K409" s="455"/>
      <c r="L409" s="455"/>
      <c r="M409" s="455"/>
      <c r="N409" s="455"/>
      <c r="O409" s="455"/>
      <c r="P409" s="455"/>
      <c r="Q409" s="455"/>
      <c r="R409" s="455"/>
      <c r="S409" s="455"/>
      <c r="T409" s="455"/>
      <c r="U409" s="455"/>
      <c r="V409" s="455"/>
      <c r="W409" s="455"/>
      <c r="X409" s="455"/>
      <c r="Y409" s="455"/>
      <c r="Z409" s="455"/>
      <c r="AA409" s="455"/>
      <c r="AB409" s="455"/>
    </row>
    <row r="410" spans="8:28" s="439" customFormat="1" ht="10.5">
      <c r="H410" s="455"/>
      <c r="I410" s="455"/>
      <c r="J410" s="455"/>
      <c r="K410" s="455"/>
      <c r="L410" s="455"/>
      <c r="M410" s="455"/>
      <c r="N410" s="455"/>
      <c r="O410" s="455"/>
      <c r="P410" s="455"/>
      <c r="Q410" s="455"/>
      <c r="R410" s="455"/>
      <c r="S410" s="455"/>
      <c r="T410" s="455"/>
      <c r="U410" s="455"/>
      <c r="V410" s="455"/>
      <c r="W410" s="455"/>
      <c r="X410" s="455"/>
      <c r="Y410" s="455"/>
      <c r="Z410" s="455"/>
      <c r="AA410" s="455"/>
      <c r="AB410" s="455"/>
    </row>
    <row r="411" spans="8:28" s="439" customFormat="1" ht="10.5">
      <c r="H411" s="455"/>
      <c r="I411" s="455"/>
      <c r="J411" s="455"/>
      <c r="K411" s="455"/>
      <c r="L411" s="455"/>
      <c r="M411" s="455"/>
      <c r="N411" s="455"/>
      <c r="O411" s="455"/>
      <c r="P411" s="455"/>
      <c r="Q411" s="455"/>
      <c r="R411" s="455"/>
      <c r="S411" s="455"/>
      <c r="T411" s="455"/>
      <c r="U411" s="455"/>
      <c r="V411" s="455"/>
      <c r="W411" s="455"/>
      <c r="X411" s="455"/>
      <c r="Y411" s="455"/>
      <c r="Z411" s="455"/>
      <c r="AA411" s="455"/>
      <c r="AB411" s="455"/>
    </row>
    <row r="412" spans="8:28" s="439" customFormat="1" ht="10.5">
      <c r="H412" s="455"/>
      <c r="I412" s="455"/>
      <c r="J412" s="455"/>
      <c r="K412" s="455"/>
      <c r="L412" s="455"/>
      <c r="M412" s="455"/>
      <c r="N412" s="455"/>
      <c r="O412" s="455"/>
      <c r="P412" s="455"/>
      <c r="Q412" s="455"/>
      <c r="R412" s="455"/>
      <c r="S412" s="455"/>
      <c r="T412" s="455"/>
      <c r="U412" s="455"/>
      <c r="V412" s="455"/>
      <c r="W412" s="455"/>
      <c r="X412" s="455"/>
      <c r="Y412" s="455"/>
      <c r="Z412" s="455"/>
      <c r="AA412" s="455"/>
      <c r="AB412" s="455"/>
    </row>
    <row r="413" spans="8:28" s="439" customFormat="1" ht="10.5">
      <c r="H413" s="455"/>
      <c r="I413" s="455"/>
      <c r="J413" s="455"/>
      <c r="K413" s="455"/>
      <c r="L413" s="455"/>
      <c r="M413" s="455"/>
      <c r="N413" s="455"/>
      <c r="O413" s="455"/>
      <c r="P413" s="455"/>
      <c r="Q413" s="455"/>
      <c r="R413" s="455"/>
      <c r="S413" s="455"/>
      <c r="T413" s="455"/>
      <c r="U413" s="455"/>
      <c r="V413" s="455"/>
      <c r="W413" s="455"/>
      <c r="X413" s="455"/>
      <c r="Y413" s="455"/>
      <c r="Z413" s="455"/>
      <c r="AA413" s="455"/>
      <c r="AB413" s="455"/>
    </row>
    <row r="414" spans="8:28" s="439" customFormat="1" ht="10.5">
      <c r="H414" s="455"/>
      <c r="I414" s="455"/>
      <c r="J414" s="455"/>
      <c r="K414" s="455"/>
      <c r="L414" s="455"/>
      <c r="M414" s="455"/>
      <c r="N414" s="455"/>
      <c r="O414" s="455"/>
      <c r="P414" s="455"/>
      <c r="Q414" s="455"/>
      <c r="R414" s="455"/>
      <c r="S414" s="455"/>
      <c r="T414" s="455"/>
      <c r="U414" s="455"/>
      <c r="V414" s="455"/>
      <c r="W414" s="455"/>
      <c r="X414" s="455"/>
      <c r="Y414" s="455"/>
      <c r="Z414" s="455"/>
      <c r="AA414" s="455"/>
      <c r="AB414" s="455"/>
    </row>
    <row r="415" spans="8:28" s="439" customFormat="1" ht="10.5">
      <c r="H415" s="455"/>
      <c r="I415" s="455"/>
      <c r="J415" s="455"/>
      <c r="K415" s="455"/>
      <c r="L415" s="455"/>
      <c r="M415" s="455"/>
      <c r="N415" s="455"/>
      <c r="O415" s="455"/>
      <c r="P415" s="455"/>
      <c r="Q415" s="455"/>
      <c r="R415" s="455"/>
      <c r="S415" s="455"/>
      <c r="T415" s="455"/>
      <c r="U415" s="455"/>
      <c r="V415" s="455"/>
      <c r="W415" s="455"/>
      <c r="X415" s="455"/>
      <c r="Y415" s="455"/>
      <c r="Z415" s="455"/>
      <c r="AA415" s="455"/>
      <c r="AB415" s="455"/>
    </row>
    <row r="416" spans="8:28" s="439" customFormat="1" ht="10.5">
      <c r="H416" s="455"/>
      <c r="I416" s="455"/>
      <c r="J416" s="455"/>
      <c r="K416" s="455"/>
      <c r="L416" s="455"/>
      <c r="M416" s="455"/>
      <c r="N416" s="455"/>
      <c r="O416" s="455"/>
      <c r="P416" s="455"/>
      <c r="Q416" s="455"/>
      <c r="R416" s="455"/>
      <c r="S416" s="455"/>
      <c r="T416" s="455"/>
      <c r="U416" s="455"/>
      <c r="V416" s="455"/>
      <c r="W416" s="455"/>
      <c r="X416" s="455"/>
      <c r="Y416" s="455"/>
      <c r="Z416" s="455"/>
      <c r="AA416" s="455"/>
      <c r="AB416" s="455"/>
    </row>
    <row r="417" spans="8:28" s="439" customFormat="1" ht="10.5">
      <c r="H417" s="455"/>
      <c r="I417" s="455"/>
      <c r="J417" s="455"/>
      <c r="K417" s="455"/>
      <c r="L417" s="455"/>
      <c r="M417" s="455"/>
      <c r="N417" s="455"/>
      <c r="O417" s="455"/>
      <c r="P417" s="455"/>
      <c r="Q417" s="455"/>
      <c r="R417" s="455"/>
      <c r="S417" s="455"/>
      <c r="T417" s="455"/>
      <c r="U417" s="455"/>
      <c r="V417" s="455"/>
      <c r="W417" s="455"/>
      <c r="X417" s="455"/>
      <c r="Y417" s="455"/>
      <c r="Z417" s="455"/>
      <c r="AA417" s="455"/>
      <c r="AB417" s="455"/>
    </row>
    <row r="418" spans="8:28" s="439" customFormat="1" ht="10.5">
      <c r="H418" s="455"/>
      <c r="I418" s="455"/>
      <c r="J418" s="455"/>
      <c r="K418" s="455"/>
      <c r="L418" s="455"/>
      <c r="M418" s="455"/>
      <c r="N418" s="455"/>
      <c r="O418" s="455"/>
      <c r="P418" s="455"/>
      <c r="Q418" s="455"/>
      <c r="R418" s="455"/>
      <c r="S418" s="455"/>
      <c r="T418" s="455"/>
      <c r="U418" s="455"/>
      <c r="V418" s="455"/>
      <c r="W418" s="455"/>
      <c r="X418" s="455"/>
      <c r="Y418" s="455"/>
      <c r="Z418" s="455"/>
      <c r="AA418" s="455"/>
      <c r="AB418" s="455"/>
    </row>
    <row r="419" spans="8:28" s="439" customFormat="1" ht="10.5">
      <c r="H419" s="455"/>
      <c r="I419" s="455"/>
      <c r="J419" s="455"/>
      <c r="K419" s="455"/>
      <c r="L419" s="455"/>
      <c r="M419" s="455"/>
      <c r="N419" s="455"/>
      <c r="O419" s="455"/>
      <c r="P419" s="455"/>
      <c r="Q419" s="455"/>
      <c r="R419" s="455"/>
      <c r="S419" s="455"/>
      <c r="T419" s="455"/>
      <c r="U419" s="455"/>
      <c r="V419" s="455"/>
      <c r="W419" s="455"/>
      <c r="X419" s="455"/>
      <c r="Y419" s="455"/>
      <c r="Z419" s="455"/>
      <c r="AA419" s="455"/>
      <c r="AB419" s="455"/>
    </row>
    <row r="420" spans="8:28" s="439" customFormat="1" ht="10.5">
      <c r="H420" s="455"/>
      <c r="I420" s="455"/>
      <c r="J420" s="455"/>
      <c r="K420" s="455"/>
      <c r="L420" s="455"/>
      <c r="M420" s="455"/>
      <c r="N420" s="455"/>
      <c r="O420" s="455"/>
      <c r="P420" s="455"/>
      <c r="Q420" s="455"/>
      <c r="R420" s="455"/>
      <c r="S420" s="455"/>
      <c r="T420" s="455"/>
      <c r="U420" s="455"/>
      <c r="V420" s="455"/>
      <c r="W420" s="455"/>
      <c r="X420" s="455"/>
      <c r="Y420" s="455"/>
      <c r="Z420" s="455"/>
      <c r="AA420" s="455"/>
      <c r="AB420" s="455"/>
    </row>
    <row r="421" spans="8:28" s="439" customFormat="1" ht="10.5">
      <c r="H421" s="455"/>
      <c r="I421" s="455"/>
      <c r="J421" s="455"/>
      <c r="K421" s="455"/>
      <c r="L421" s="455"/>
      <c r="M421" s="455"/>
      <c r="N421" s="455"/>
      <c r="O421" s="455"/>
      <c r="P421" s="455"/>
      <c r="Q421" s="455"/>
      <c r="R421" s="455"/>
      <c r="S421" s="455"/>
      <c r="T421" s="455"/>
      <c r="U421" s="455"/>
      <c r="V421" s="455"/>
      <c r="W421" s="455"/>
      <c r="X421" s="455"/>
      <c r="Y421" s="455"/>
      <c r="Z421" s="455"/>
      <c r="AA421" s="455"/>
      <c r="AB421" s="455"/>
    </row>
    <row r="422" spans="8:28" s="439" customFormat="1" ht="10.5">
      <c r="H422" s="455"/>
      <c r="I422" s="455"/>
      <c r="J422" s="455"/>
      <c r="K422" s="455"/>
      <c r="L422" s="455"/>
      <c r="M422" s="455"/>
      <c r="N422" s="455"/>
      <c r="O422" s="455"/>
      <c r="P422" s="455"/>
      <c r="Q422" s="455"/>
      <c r="R422" s="455"/>
      <c r="S422" s="455"/>
      <c r="T422" s="455"/>
      <c r="U422" s="455"/>
      <c r="V422" s="455"/>
      <c r="W422" s="455"/>
      <c r="X422" s="455"/>
      <c r="Y422" s="455"/>
      <c r="Z422" s="455"/>
      <c r="AA422" s="455"/>
      <c r="AB422" s="455"/>
    </row>
    <row r="423" spans="8:28" s="439" customFormat="1" ht="10.5">
      <c r="H423" s="455"/>
      <c r="I423" s="455"/>
      <c r="J423" s="455"/>
      <c r="K423" s="455"/>
      <c r="L423" s="455"/>
      <c r="M423" s="455"/>
      <c r="N423" s="455"/>
      <c r="O423" s="455"/>
      <c r="P423" s="455"/>
      <c r="Q423" s="455"/>
      <c r="R423" s="455"/>
      <c r="S423" s="455"/>
      <c r="T423" s="455"/>
      <c r="U423" s="455"/>
      <c r="V423" s="455"/>
      <c r="W423" s="455"/>
      <c r="X423" s="455"/>
      <c r="Y423" s="455"/>
      <c r="Z423" s="455"/>
      <c r="AA423" s="455"/>
      <c r="AB423" s="455"/>
    </row>
    <row r="424" spans="8:28" s="439" customFormat="1" ht="10.5">
      <c r="H424" s="455"/>
      <c r="I424" s="455"/>
      <c r="J424" s="455"/>
      <c r="K424" s="455"/>
      <c r="L424" s="455"/>
      <c r="M424" s="455"/>
      <c r="N424" s="455"/>
      <c r="O424" s="455"/>
      <c r="P424" s="455"/>
      <c r="Q424" s="455"/>
      <c r="R424" s="455"/>
      <c r="S424" s="455"/>
      <c r="T424" s="455"/>
      <c r="U424" s="455"/>
      <c r="V424" s="455"/>
      <c r="W424" s="455"/>
      <c r="X424" s="455"/>
      <c r="Y424" s="455"/>
      <c r="Z424" s="455"/>
      <c r="AA424" s="455"/>
      <c r="AB424" s="455"/>
    </row>
    <row r="425" spans="8:28" s="439" customFormat="1" ht="10.5">
      <c r="H425" s="455"/>
      <c r="I425" s="455"/>
      <c r="J425" s="455"/>
      <c r="K425" s="455"/>
      <c r="L425" s="455"/>
      <c r="M425" s="455"/>
      <c r="N425" s="455"/>
      <c r="O425" s="455"/>
      <c r="P425" s="455"/>
      <c r="Q425" s="455"/>
      <c r="R425" s="455"/>
      <c r="S425" s="455"/>
      <c r="T425" s="455"/>
      <c r="U425" s="455"/>
      <c r="V425" s="455"/>
      <c r="W425" s="455"/>
      <c r="X425" s="455"/>
      <c r="Y425" s="455"/>
      <c r="Z425" s="455"/>
      <c r="AA425" s="455"/>
      <c r="AB425" s="455"/>
    </row>
    <row r="426" spans="8:28" s="439" customFormat="1" ht="10.5">
      <c r="H426" s="455"/>
      <c r="I426" s="455"/>
      <c r="J426" s="455"/>
      <c r="K426" s="455"/>
      <c r="L426" s="455"/>
      <c r="M426" s="455"/>
      <c r="N426" s="455"/>
      <c r="O426" s="455"/>
      <c r="P426" s="455"/>
      <c r="Q426" s="455"/>
      <c r="R426" s="455"/>
      <c r="S426" s="455"/>
      <c r="T426" s="455"/>
      <c r="U426" s="455"/>
      <c r="V426" s="455"/>
      <c r="W426" s="455"/>
      <c r="X426" s="455"/>
      <c r="Y426" s="455"/>
      <c r="Z426" s="455"/>
      <c r="AA426" s="455"/>
      <c r="AB426" s="455"/>
    </row>
    <row r="427" spans="8:28" s="439" customFormat="1" ht="10.5">
      <c r="H427" s="455"/>
      <c r="I427" s="455"/>
      <c r="J427" s="455"/>
      <c r="K427" s="455"/>
      <c r="L427" s="455"/>
      <c r="M427" s="455"/>
      <c r="N427" s="455"/>
      <c r="O427" s="455"/>
      <c r="P427" s="455"/>
      <c r="Q427" s="455"/>
      <c r="R427" s="455"/>
      <c r="S427" s="455"/>
      <c r="T427" s="455"/>
      <c r="U427" s="455"/>
      <c r="V427" s="455"/>
      <c r="W427" s="455"/>
      <c r="X427" s="455"/>
      <c r="Y427" s="455"/>
      <c r="Z427" s="455"/>
      <c r="AA427" s="455"/>
      <c r="AB427" s="455"/>
    </row>
    <row r="428" spans="8:28" s="439" customFormat="1" ht="10.5">
      <c r="H428" s="455"/>
      <c r="I428" s="455"/>
      <c r="J428" s="455"/>
      <c r="K428" s="455"/>
      <c r="L428" s="455"/>
      <c r="M428" s="455"/>
      <c r="N428" s="455"/>
      <c r="O428" s="455"/>
      <c r="P428" s="455"/>
      <c r="Q428" s="455"/>
      <c r="R428" s="455"/>
      <c r="S428" s="455"/>
      <c r="T428" s="455"/>
      <c r="U428" s="455"/>
      <c r="V428" s="455"/>
      <c r="W428" s="455"/>
      <c r="X428" s="455"/>
      <c r="Y428" s="455"/>
      <c r="Z428" s="455"/>
      <c r="AA428" s="455"/>
      <c r="AB428" s="455"/>
    </row>
    <row r="429" spans="8:28" s="439" customFormat="1" ht="10.5">
      <c r="H429" s="455"/>
      <c r="I429" s="455"/>
      <c r="J429" s="455"/>
      <c r="K429" s="455"/>
      <c r="L429" s="455"/>
      <c r="M429" s="455"/>
      <c r="N429" s="455"/>
      <c r="O429" s="455"/>
      <c r="P429" s="455"/>
      <c r="Q429" s="455"/>
      <c r="R429" s="455"/>
      <c r="S429" s="455"/>
      <c r="T429" s="455"/>
      <c r="U429" s="455"/>
      <c r="V429" s="455"/>
      <c r="W429" s="455"/>
      <c r="X429" s="455"/>
      <c r="Y429" s="455"/>
      <c r="Z429" s="455"/>
      <c r="AA429" s="455"/>
      <c r="AB429" s="455"/>
    </row>
    <row r="430" spans="8:28" s="439" customFormat="1" ht="10.5">
      <c r="H430" s="455"/>
      <c r="I430" s="455"/>
      <c r="J430" s="455"/>
      <c r="K430" s="455"/>
      <c r="L430" s="455"/>
      <c r="M430" s="455"/>
      <c r="N430" s="455"/>
      <c r="O430" s="455"/>
      <c r="P430" s="455"/>
      <c r="Q430" s="455"/>
      <c r="R430" s="455"/>
      <c r="S430" s="455"/>
      <c r="T430" s="455"/>
      <c r="U430" s="455"/>
      <c r="V430" s="455"/>
      <c r="W430" s="455"/>
      <c r="X430" s="455"/>
      <c r="Y430" s="455"/>
      <c r="Z430" s="455"/>
      <c r="AA430" s="455"/>
      <c r="AB430" s="455"/>
    </row>
    <row r="431" spans="8:28" s="439" customFormat="1" ht="10.5">
      <c r="H431" s="455"/>
      <c r="I431" s="455"/>
      <c r="J431" s="455"/>
      <c r="K431" s="455"/>
      <c r="L431" s="455"/>
      <c r="M431" s="455"/>
      <c r="N431" s="455"/>
      <c r="O431" s="455"/>
      <c r="P431" s="455"/>
      <c r="Q431" s="455"/>
      <c r="R431" s="455"/>
      <c r="S431" s="455"/>
      <c r="T431" s="455"/>
      <c r="U431" s="455"/>
      <c r="V431" s="455"/>
      <c r="W431" s="455"/>
      <c r="X431" s="455"/>
      <c r="Y431" s="455"/>
      <c r="Z431" s="455"/>
      <c r="AA431" s="455"/>
      <c r="AB431" s="455"/>
    </row>
    <row r="432" spans="8:28" s="439" customFormat="1" ht="10.5">
      <c r="H432" s="455"/>
      <c r="I432" s="455"/>
      <c r="J432" s="455"/>
      <c r="K432" s="455"/>
      <c r="L432" s="455"/>
      <c r="M432" s="455"/>
      <c r="N432" s="455"/>
      <c r="O432" s="455"/>
      <c r="P432" s="455"/>
      <c r="Q432" s="455"/>
      <c r="R432" s="455"/>
      <c r="S432" s="455"/>
      <c r="T432" s="455"/>
      <c r="U432" s="455"/>
      <c r="V432" s="455"/>
      <c r="W432" s="455"/>
      <c r="X432" s="455"/>
      <c r="Y432" s="455"/>
      <c r="Z432" s="455"/>
      <c r="AA432" s="455"/>
      <c r="AB432" s="455"/>
    </row>
    <row r="433" spans="8:28" s="439" customFormat="1" ht="10.5">
      <c r="H433" s="455"/>
      <c r="I433" s="455"/>
      <c r="J433" s="455"/>
      <c r="K433" s="455"/>
      <c r="L433" s="455"/>
      <c r="M433" s="455"/>
      <c r="N433" s="455"/>
      <c r="O433" s="455"/>
      <c r="P433" s="455"/>
      <c r="Q433" s="455"/>
      <c r="R433" s="455"/>
      <c r="S433" s="455"/>
      <c r="T433" s="455"/>
      <c r="U433" s="455"/>
      <c r="V433" s="455"/>
      <c r="W433" s="455"/>
      <c r="X433" s="455"/>
      <c r="Y433" s="455"/>
      <c r="Z433" s="455"/>
      <c r="AA433" s="455"/>
      <c r="AB433" s="455"/>
    </row>
    <row r="434" spans="8:28" s="439" customFormat="1" ht="10.5">
      <c r="H434" s="455"/>
      <c r="I434" s="455"/>
      <c r="J434" s="455"/>
      <c r="K434" s="455"/>
      <c r="L434" s="455"/>
      <c r="M434" s="455"/>
      <c r="N434" s="455"/>
      <c r="O434" s="455"/>
      <c r="P434" s="455"/>
      <c r="Q434" s="455"/>
      <c r="R434" s="455"/>
      <c r="S434" s="455"/>
      <c r="T434" s="455"/>
      <c r="U434" s="455"/>
      <c r="V434" s="455"/>
      <c r="W434" s="455"/>
      <c r="X434" s="455"/>
      <c r="Y434" s="455"/>
      <c r="Z434" s="455"/>
      <c r="AA434" s="455"/>
      <c r="AB434" s="455"/>
    </row>
    <row r="435" spans="8:28" s="439" customFormat="1" ht="10.5">
      <c r="H435" s="455"/>
      <c r="I435" s="455"/>
      <c r="J435" s="455"/>
      <c r="K435" s="455"/>
      <c r="L435" s="455"/>
      <c r="M435" s="455"/>
      <c r="N435" s="455"/>
      <c r="O435" s="455"/>
      <c r="P435" s="455"/>
      <c r="Q435" s="455"/>
      <c r="R435" s="455"/>
      <c r="S435" s="455"/>
      <c r="T435" s="455"/>
      <c r="U435" s="455"/>
      <c r="V435" s="455"/>
      <c r="W435" s="455"/>
      <c r="X435" s="455"/>
      <c r="Y435" s="455"/>
      <c r="Z435" s="455"/>
      <c r="AA435" s="455"/>
      <c r="AB435" s="455"/>
    </row>
    <row r="436" spans="8:28" s="439" customFormat="1" ht="10.5">
      <c r="H436" s="455"/>
      <c r="I436" s="455"/>
      <c r="J436" s="455"/>
      <c r="K436" s="455"/>
      <c r="L436" s="455"/>
      <c r="M436" s="455"/>
      <c r="N436" s="455"/>
      <c r="O436" s="455"/>
      <c r="P436" s="455"/>
      <c r="Q436" s="455"/>
      <c r="R436" s="455"/>
      <c r="S436" s="455"/>
      <c r="T436" s="455"/>
      <c r="U436" s="455"/>
      <c r="V436" s="455"/>
      <c r="W436" s="455"/>
      <c r="X436" s="455"/>
      <c r="Y436" s="455"/>
      <c r="Z436" s="455"/>
      <c r="AA436" s="455"/>
      <c r="AB436" s="455"/>
    </row>
    <row r="437" spans="8:28" s="439" customFormat="1" ht="10.5">
      <c r="H437" s="455"/>
      <c r="I437" s="455"/>
      <c r="J437" s="455"/>
      <c r="K437" s="455"/>
      <c r="L437" s="455"/>
      <c r="M437" s="455"/>
      <c r="N437" s="455"/>
      <c r="O437" s="455"/>
      <c r="P437" s="455"/>
      <c r="Q437" s="455"/>
      <c r="R437" s="455"/>
      <c r="S437" s="455"/>
      <c r="T437" s="455"/>
      <c r="U437" s="455"/>
      <c r="V437" s="455"/>
      <c r="W437" s="455"/>
      <c r="X437" s="455"/>
      <c r="Y437" s="455"/>
      <c r="Z437" s="455"/>
      <c r="AA437" s="455"/>
      <c r="AB437" s="455"/>
    </row>
    <row r="438" spans="8:28" s="439" customFormat="1" ht="10.5">
      <c r="H438" s="455"/>
      <c r="I438" s="455"/>
      <c r="J438" s="455"/>
      <c r="K438" s="455"/>
      <c r="L438" s="455"/>
      <c r="M438" s="455"/>
      <c r="N438" s="455"/>
      <c r="O438" s="455"/>
      <c r="P438" s="455"/>
      <c r="Q438" s="455"/>
      <c r="R438" s="455"/>
      <c r="S438" s="455"/>
      <c r="T438" s="455"/>
      <c r="U438" s="455"/>
      <c r="V438" s="455"/>
      <c r="W438" s="455"/>
      <c r="X438" s="455"/>
      <c r="Y438" s="455"/>
      <c r="Z438" s="455"/>
      <c r="AA438" s="455"/>
      <c r="AB438" s="455"/>
    </row>
    <row r="439" spans="8:28" s="439" customFormat="1" ht="10.5">
      <c r="H439" s="455"/>
      <c r="I439" s="455"/>
      <c r="J439" s="455"/>
      <c r="K439" s="455"/>
      <c r="L439" s="455"/>
      <c r="M439" s="455"/>
      <c r="N439" s="455"/>
      <c r="O439" s="455"/>
      <c r="P439" s="455"/>
      <c r="Q439" s="455"/>
      <c r="R439" s="455"/>
      <c r="S439" s="455"/>
      <c r="T439" s="455"/>
      <c r="U439" s="455"/>
      <c r="V439" s="455"/>
      <c r="W439" s="455"/>
      <c r="X439" s="455"/>
      <c r="Y439" s="455"/>
      <c r="Z439" s="455"/>
      <c r="AA439" s="455"/>
      <c r="AB439" s="455"/>
    </row>
    <row r="440" spans="8:28" s="439" customFormat="1" ht="10.5">
      <c r="H440" s="455"/>
      <c r="I440" s="455"/>
      <c r="J440" s="455"/>
      <c r="K440" s="455"/>
      <c r="L440" s="455"/>
      <c r="M440" s="455"/>
      <c r="N440" s="455"/>
      <c r="O440" s="455"/>
      <c r="P440" s="455"/>
      <c r="Q440" s="455"/>
      <c r="R440" s="455"/>
      <c r="S440" s="455"/>
      <c r="T440" s="455"/>
      <c r="U440" s="455"/>
      <c r="V440" s="455"/>
      <c r="W440" s="455"/>
      <c r="X440" s="455"/>
      <c r="Y440" s="455"/>
      <c r="Z440" s="455"/>
      <c r="AA440" s="455"/>
      <c r="AB440" s="455"/>
    </row>
    <row r="441" spans="8:28" s="439" customFormat="1" ht="10.5">
      <c r="H441" s="455"/>
      <c r="I441" s="455"/>
      <c r="J441" s="455"/>
      <c r="K441" s="455"/>
      <c r="L441" s="455"/>
      <c r="M441" s="455"/>
      <c r="N441" s="455"/>
      <c r="O441" s="455"/>
      <c r="P441" s="455"/>
      <c r="Q441" s="455"/>
      <c r="R441" s="455"/>
      <c r="S441" s="455"/>
      <c r="T441" s="455"/>
      <c r="U441" s="455"/>
      <c r="V441" s="455"/>
      <c r="W441" s="455"/>
      <c r="X441" s="455"/>
      <c r="Y441" s="455"/>
      <c r="Z441" s="455"/>
      <c r="AA441" s="455"/>
      <c r="AB441" s="455"/>
    </row>
    <row r="442" spans="8:28" s="439" customFormat="1" ht="10.5">
      <c r="H442" s="455"/>
      <c r="I442" s="455"/>
      <c r="J442" s="455"/>
      <c r="K442" s="455"/>
      <c r="L442" s="455"/>
      <c r="M442" s="455"/>
      <c r="N442" s="455"/>
      <c r="O442" s="455"/>
      <c r="P442" s="455"/>
      <c r="Q442" s="455"/>
      <c r="R442" s="455"/>
      <c r="S442" s="455"/>
      <c r="T442" s="455"/>
      <c r="U442" s="455"/>
      <c r="V442" s="455"/>
      <c r="W442" s="455"/>
      <c r="X442" s="455"/>
      <c r="Y442" s="455"/>
      <c r="Z442" s="455"/>
      <c r="AA442" s="455"/>
      <c r="AB442" s="455"/>
    </row>
    <row r="443" spans="8:28" s="439" customFormat="1" ht="10.5">
      <c r="H443" s="455"/>
      <c r="I443" s="455"/>
      <c r="J443" s="455"/>
      <c r="K443" s="455"/>
      <c r="L443" s="455"/>
      <c r="M443" s="455"/>
      <c r="N443" s="455"/>
      <c r="O443" s="455"/>
      <c r="P443" s="455"/>
      <c r="Q443" s="455"/>
      <c r="R443" s="455"/>
      <c r="S443" s="455"/>
      <c r="T443" s="455"/>
      <c r="U443" s="455"/>
      <c r="V443" s="455"/>
      <c r="W443" s="455"/>
      <c r="X443" s="455"/>
      <c r="Y443" s="455"/>
      <c r="Z443" s="455"/>
      <c r="AA443" s="455"/>
      <c r="AB443" s="455"/>
    </row>
    <row r="444" spans="8:28" s="439" customFormat="1" ht="10.5">
      <c r="H444" s="455"/>
      <c r="I444" s="455"/>
      <c r="J444" s="455"/>
      <c r="K444" s="455"/>
      <c r="L444" s="455"/>
      <c r="M444" s="455"/>
      <c r="N444" s="455"/>
      <c r="O444" s="455"/>
      <c r="P444" s="455"/>
      <c r="Q444" s="455"/>
      <c r="R444" s="455"/>
      <c r="S444" s="455"/>
      <c r="T444" s="455"/>
      <c r="U444" s="455"/>
      <c r="V444" s="455"/>
      <c r="W444" s="455"/>
      <c r="X444" s="455"/>
      <c r="Y444" s="455"/>
      <c r="Z444" s="455"/>
      <c r="AA444" s="455"/>
      <c r="AB444" s="455"/>
    </row>
    <row r="445" spans="8:28" s="439" customFormat="1" ht="10.5">
      <c r="H445" s="455"/>
      <c r="I445" s="455"/>
      <c r="J445" s="455"/>
      <c r="K445" s="455"/>
      <c r="L445" s="455"/>
      <c r="M445" s="455"/>
      <c r="N445" s="455"/>
      <c r="O445" s="455"/>
      <c r="P445" s="455"/>
      <c r="Q445" s="455"/>
      <c r="R445" s="455"/>
      <c r="S445" s="455"/>
      <c r="T445" s="455"/>
      <c r="U445" s="455"/>
      <c r="V445" s="455"/>
      <c r="W445" s="455"/>
      <c r="X445" s="455"/>
      <c r="Y445" s="455"/>
      <c r="Z445" s="455"/>
      <c r="AA445" s="455"/>
      <c r="AB445" s="455"/>
    </row>
    <row r="446" spans="8:28" s="439" customFormat="1" ht="10.5">
      <c r="H446" s="455"/>
      <c r="I446" s="455"/>
      <c r="J446" s="455"/>
      <c r="K446" s="455"/>
      <c r="L446" s="455"/>
      <c r="M446" s="455"/>
      <c r="N446" s="455"/>
      <c r="O446" s="455"/>
      <c r="P446" s="455"/>
      <c r="Q446" s="455"/>
      <c r="R446" s="455"/>
      <c r="S446" s="455"/>
      <c r="T446" s="455"/>
      <c r="U446" s="455"/>
      <c r="V446" s="455"/>
      <c r="W446" s="455"/>
      <c r="X446" s="455"/>
      <c r="Y446" s="455"/>
      <c r="Z446" s="455"/>
      <c r="AA446" s="455"/>
      <c r="AB446" s="455"/>
    </row>
    <row r="447" spans="8:28" s="439" customFormat="1" ht="10.5">
      <c r="H447" s="455"/>
      <c r="I447" s="455"/>
      <c r="J447" s="455"/>
      <c r="K447" s="455"/>
      <c r="L447" s="455"/>
      <c r="M447" s="455"/>
      <c r="N447" s="455"/>
      <c r="O447" s="455"/>
      <c r="P447" s="455"/>
      <c r="Q447" s="455"/>
      <c r="R447" s="455"/>
      <c r="S447" s="455"/>
      <c r="T447" s="455"/>
      <c r="U447" s="455"/>
      <c r="V447" s="455"/>
      <c r="W447" s="455"/>
      <c r="X447" s="455"/>
      <c r="Y447" s="455"/>
      <c r="Z447" s="455"/>
      <c r="AA447" s="455"/>
      <c r="AB447" s="455"/>
    </row>
    <row r="448" spans="8:28" s="439" customFormat="1" ht="10.5">
      <c r="H448" s="455"/>
      <c r="I448" s="455"/>
      <c r="J448" s="455"/>
      <c r="K448" s="455"/>
      <c r="L448" s="455"/>
      <c r="M448" s="455"/>
      <c r="N448" s="455"/>
      <c r="O448" s="455"/>
      <c r="P448" s="455"/>
      <c r="Q448" s="455"/>
      <c r="R448" s="455"/>
      <c r="S448" s="455"/>
      <c r="T448" s="455"/>
      <c r="U448" s="455"/>
      <c r="V448" s="455"/>
      <c r="W448" s="455"/>
      <c r="X448" s="455"/>
      <c r="Y448" s="455"/>
      <c r="Z448" s="455"/>
      <c r="AA448" s="455"/>
      <c r="AB448" s="455"/>
    </row>
    <row r="449" spans="8:28" s="439" customFormat="1" ht="10.5">
      <c r="H449" s="455"/>
      <c r="I449" s="455"/>
      <c r="J449" s="455"/>
      <c r="K449" s="455"/>
      <c r="L449" s="455"/>
      <c r="M449" s="455"/>
      <c r="N449" s="455"/>
      <c r="O449" s="455"/>
      <c r="P449" s="455"/>
      <c r="Q449" s="455"/>
      <c r="R449" s="455"/>
      <c r="S449" s="455"/>
      <c r="T449" s="455"/>
      <c r="U449" s="455"/>
      <c r="V449" s="455"/>
      <c r="W449" s="455"/>
      <c r="X449" s="455"/>
      <c r="Y449" s="455"/>
      <c r="Z449" s="455"/>
      <c r="AA449" s="455"/>
      <c r="AB449" s="455"/>
    </row>
    <row r="450" spans="8:28" s="439" customFormat="1" ht="10.5">
      <c r="H450" s="455"/>
      <c r="I450" s="455"/>
      <c r="J450" s="455"/>
      <c r="K450" s="455"/>
      <c r="L450" s="455"/>
      <c r="M450" s="455"/>
      <c r="N450" s="455"/>
      <c r="O450" s="455"/>
      <c r="P450" s="455"/>
      <c r="Q450" s="455"/>
      <c r="R450" s="455"/>
      <c r="S450" s="455"/>
      <c r="T450" s="455"/>
      <c r="U450" s="455"/>
      <c r="V450" s="455"/>
      <c r="W450" s="455"/>
      <c r="X450" s="455"/>
      <c r="Y450" s="455"/>
      <c r="Z450" s="455"/>
      <c r="AA450" s="455"/>
      <c r="AB450" s="455"/>
    </row>
    <row r="451" spans="8:28" s="439" customFormat="1" ht="10.5">
      <c r="H451" s="455"/>
      <c r="I451" s="455"/>
      <c r="J451" s="455"/>
      <c r="K451" s="455"/>
      <c r="L451" s="455"/>
      <c r="M451" s="455"/>
      <c r="N451" s="455"/>
      <c r="O451" s="455"/>
      <c r="P451" s="455"/>
      <c r="Q451" s="455"/>
      <c r="R451" s="455"/>
      <c r="S451" s="455"/>
      <c r="T451" s="455"/>
      <c r="U451" s="455"/>
      <c r="V451" s="455"/>
      <c r="W451" s="455"/>
      <c r="X451" s="455"/>
      <c r="Y451" s="455"/>
      <c r="Z451" s="455"/>
      <c r="AA451" s="455"/>
      <c r="AB451" s="455"/>
    </row>
    <row r="452" spans="8:28" s="439" customFormat="1" ht="10.5">
      <c r="H452" s="455"/>
      <c r="I452" s="455"/>
      <c r="J452" s="455"/>
      <c r="K452" s="455"/>
      <c r="L452" s="455"/>
      <c r="M452" s="455"/>
      <c r="N452" s="455"/>
      <c r="O452" s="455"/>
      <c r="P452" s="455"/>
      <c r="Q452" s="455"/>
      <c r="R452" s="455"/>
      <c r="S452" s="455"/>
      <c r="T452" s="455"/>
      <c r="U452" s="455"/>
      <c r="V452" s="455"/>
      <c r="W452" s="455"/>
      <c r="X452" s="455"/>
      <c r="Y452" s="455"/>
      <c r="Z452" s="455"/>
      <c r="AA452" s="455"/>
      <c r="AB452" s="455"/>
    </row>
    <row r="453" spans="8:28" s="439" customFormat="1" ht="10.5">
      <c r="H453" s="455"/>
      <c r="I453" s="455"/>
      <c r="J453" s="455"/>
      <c r="K453" s="455"/>
      <c r="L453" s="455"/>
      <c r="M453" s="455"/>
      <c r="N453" s="455"/>
      <c r="O453" s="455"/>
      <c r="P453" s="455"/>
      <c r="Q453" s="455"/>
      <c r="R453" s="455"/>
      <c r="S453" s="455"/>
      <c r="T453" s="455"/>
      <c r="U453" s="455"/>
      <c r="V453" s="455"/>
      <c r="W453" s="455"/>
      <c r="X453" s="455"/>
      <c r="Y453" s="455"/>
      <c r="Z453" s="455"/>
      <c r="AA453" s="455"/>
      <c r="AB453" s="455"/>
    </row>
    <row r="454" spans="8:28" s="439" customFormat="1" ht="10.5">
      <c r="H454" s="455"/>
      <c r="I454" s="455"/>
      <c r="J454" s="455"/>
      <c r="K454" s="455"/>
      <c r="L454" s="455"/>
      <c r="M454" s="455"/>
      <c r="N454" s="455"/>
      <c r="O454" s="455"/>
      <c r="P454" s="455"/>
      <c r="Q454" s="455"/>
      <c r="R454" s="455"/>
      <c r="S454" s="455"/>
      <c r="T454" s="455"/>
      <c r="U454" s="455"/>
      <c r="V454" s="455"/>
      <c r="W454" s="455"/>
      <c r="X454" s="455"/>
      <c r="Y454" s="455"/>
      <c r="Z454" s="455"/>
      <c r="AA454" s="455"/>
      <c r="AB454" s="455"/>
    </row>
    <row r="455" spans="8:28" s="439" customFormat="1" ht="10.5">
      <c r="H455" s="455"/>
      <c r="I455" s="455"/>
      <c r="J455" s="455"/>
      <c r="K455" s="455"/>
      <c r="L455" s="455"/>
      <c r="M455" s="455"/>
      <c r="N455" s="455"/>
      <c r="O455" s="455"/>
      <c r="P455" s="455"/>
      <c r="Q455" s="455"/>
      <c r="R455" s="455"/>
      <c r="S455" s="455"/>
      <c r="T455" s="455"/>
      <c r="U455" s="455"/>
      <c r="V455" s="455"/>
      <c r="W455" s="455"/>
      <c r="X455" s="455"/>
      <c r="Y455" s="455"/>
      <c r="Z455" s="455"/>
      <c r="AA455" s="455"/>
      <c r="AB455" s="455"/>
    </row>
    <row r="456" spans="8:28" s="439" customFormat="1" ht="10.5">
      <c r="H456" s="455"/>
      <c r="I456" s="455"/>
      <c r="J456" s="455"/>
      <c r="K456" s="455"/>
      <c r="L456" s="455"/>
      <c r="M456" s="455"/>
      <c r="N456" s="455"/>
      <c r="O456" s="455"/>
      <c r="P456" s="455"/>
      <c r="Q456" s="455"/>
      <c r="R456" s="455"/>
      <c r="S456" s="455"/>
      <c r="T456" s="455"/>
      <c r="U456" s="455"/>
      <c r="V456" s="455"/>
      <c r="W456" s="455"/>
      <c r="X456" s="455"/>
      <c r="Y456" s="455"/>
      <c r="Z456" s="455"/>
      <c r="AA456" s="455"/>
      <c r="AB456" s="455"/>
    </row>
    <row r="457" spans="8:28" s="439" customFormat="1" ht="10.5">
      <c r="H457" s="455"/>
      <c r="I457" s="455"/>
      <c r="J457" s="455"/>
      <c r="K457" s="455"/>
      <c r="L457" s="455"/>
      <c r="M457" s="455"/>
      <c r="N457" s="455"/>
      <c r="O457" s="455"/>
      <c r="P457" s="455"/>
      <c r="Q457" s="455"/>
      <c r="R457" s="455"/>
      <c r="S457" s="455"/>
      <c r="T457" s="455"/>
      <c r="U457" s="455"/>
      <c r="V457" s="455"/>
      <c r="W457" s="455"/>
      <c r="X457" s="455"/>
      <c r="Y457" s="455"/>
      <c r="Z457" s="455"/>
      <c r="AA457" s="455"/>
      <c r="AB457" s="455"/>
    </row>
    <row r="458" spans="8:28" s="439" customFormat="1" ht="10.5">
      <c r="H458" s="455"/>
      <c r="I458" s="455"/>
      <c r="J458" s="455"/>
      <c r="K458" s="455"/>
      <c r="L458" s="455"/>
      <c r="M458" s="455"/>
      <c r="N458" s="455"/>
      <c r="O458" s="455"/>
      <c r="P458" s="455"/>
      <c r="Q458" s="455"/>
      <c r="R458" s="455"/>
      <c r="S458" s="455"/>
      <c r="T458" s="455"/>
      <c r="U458" s="455"/>
      <c r="V458" s="455"/>
      <c r="W458" s="455"/>
      <c r="X458" s="455"/>
      <c r="Y458" s="455"/>
      <c r="Z458" s="455"/>
      <c r="AA458" s="455"/>
      <c r="AB458" s="455"/>
    </row>
    <row r="459" spans="8:28" s="439" customFormat="1" ht="10.5">
      <c r="H459" s="455"/>
      <c r="I459" s="455"/>
      <c r="J459" s="455"/>
      <c r="K459" s="455"/>
      <c r="L459" s="455"/>
      <c r="M459" s="455"/>
      <c r="N459" s="455"/>
      <c r="O459" s="455"/>
      <c r="P459" s="455"/>
      <c r="Q459" s="455"/>
      <c r="R459" s="455"/>
      <c r="S459" s="455"/>
      <c r="T459" s="455"/>
      <c r="U459" s="455"/>
      <c r="V459" s="455"/>
      <c r="W459" s="455"/>
      <c r="X459" s="455"/>
      <c r="Y459" s="455"/>
      <c r="Z459" s="455"/>
      <c r="AA459" s="455"/>
      <c r="AB459" s="455"/>
    </row>
    <row r="460" spans="8:28" s="439" customFormat="1" ht="10.5">
      <c r="H460" s="455"/>
      <c r="I460" s="455"/>
      <c r="J460" s="455"/>
      <c r="K460" s="455"/>
      <c r="L460" s="455"/>
      <c r="M460" s="455"/>
      <c r="N460" s="455"/>
      <c r="O460" s="455"/>
      <c r="P460" s="455"/>
      <c r="Q460" s="455"/>
      <c r="R460" s="455"/>
      <c r="S460" s="455"/>
      <c r="T460" s="455"/>
      <c r="U460" s="455"/>
      <c r="V460" s="455"/>
      <c r="W460" s="455"/>
      <c r="X460" s="455"/>
      <c r="Y460" s="455"/>
      <c r="Z460" s="455"/>
      <c r="AA460" s="455"/>
      <c r="AB460" s="455"/>
    </row>
    <row r="461" spans="8:28" s="439" customFormat="1" ht="10.5">
      <c r="H461" s="455"/>
      <c r="I461" s="455"/>
      <c r="J461" s="455"/>
      <c r="K461" s="455"/>
      <c r="L461" s="455"/>
      <c r="M461" s="455"/>
      <c r="N461" s="455"/>
      <c r="O461" s="455"/>
      <c r="P461" s="455"/>
      <c r="Q461" s="455"/>
      <c r="R461" s="455"/>
      <c r="S461" s="455"/>
      <c r="T461" s="455"/>
      <c r="U461" s="455"/>
      <c r="V461" s="455"/>
      <c r="W461" s="455"/>
      <c r="X461" s="455"/>
      <c r="Y461" s="455"/>
      <c r="Z461" s="455"/>
      <c r="AA461" s="455"/>
      <c r="AB461" s="455"/>
    </row>
    <row r="462" spans="8:28" s="439" customFormat="1" ht="10.5">
      <c r="H462" s="455"/>
      <c r="I462" s="455"/>
      <c r="J462" s="455"/>
      <c r="K462" s="455"/>
      <c r="L462" s="455"/>
      <c r="M462" s="455"/>
      <c r="N462" s="455"/>
      <c r="O462" s="455"/>
      <c r="P462" s="455"/>
      <c r="Q462" s="455"/>
      <c r="R462" s="455"/>
      <c r="S462" s="455"/>
      <c r="T462" s="455"/>
      <c r="U462" s="455"/>
      <c r="V462" s="455"/>
      <c r="W462" s="455"/>
      <c r="X462" s="455"/>
      <c r="Y462" s="455"/>
      <c r="Z462" s="455"/>
      <c r="AA462" s="455"/>
      <c r="AB462" s="455"/>
    </row>
    <row r="463" spans="8:28" s="439" customFormat="1" ht="10.5">
      <c r="H463" s="455"/>
      <c r="I463" s="455"/>
      <c r="J463" s="455"/>
      <c r="K463" s="455"/>
      <c r="L463" s="455"/>
      <c r="M463" s="455"/>
      <c r="N463" s="455"/>
      <c r="O463" s="455"/>
      <c r="P463" s="455"/>
      <c r="Q463" s="455"/>
      <c r="R463" s="455"/>
      <c r="S463" s="455"/>
      <c r="T463" s="455"/>
      <c r="U463" s="455"/>
      <c r="V463" s="455"/>
      <c r="W463" s="455"/>
      <c r="X463" s="455"/>
      <c r="Y463" s="455"/>
      <c r="Z463" s="455"/>
      <c r="AA463" s="455"/>
      <c r="AB463" s="455"/>
    </row>
    <row r="464" spans="8:28" s="439" customFormat="1" ht="10.5">
      <c r="H464" s="455"/>
      <c r="I464" s="455"/>
      <c r="J464" s="455"/>
      <c r="K464" s="455"/>
      <c r="L464" s="455"/>
      <c r="M464" s="455"/>
      <c r="N464" s="455"/>
      <c r="O464" s="455"/>
      <c r="P464" s="455"/>
      <c r="Q464" s="455"/>
      <c r="R464" s="455"/>
      <c r="S464" s="455"/>
      <c r="T464" s="455"/>
      <c r="U464" s="455"/>
      <c r="V464" s="455"/>
      <c r="W464" s="455"/>
      <c r="X464" s="455"/>
      <c r="Y464" s="455"/>
      <c r="Z464" s="455"/>
      <c r="AA464" s="455"/>
      <c r="AB464" s="455"/>
    </row>
    <row r="465" spans="8:28" s="439" customFormat="1" ht="10.5">
      <c r="H465" s="455"/>
      <c r="I465" s="455"/>
      <c r="J465" s="455"/>
      <c r="K465" s="455"/>
      <c r="L465" s="455"/>
      <c r="M465" s="455"/>
      <c r="N465" s="455"/>
      <c r="O465" s="455"/>
      <c r="P465" s="455"/>
      <c r="Q465" s="455"/>
      <c r="R465" s="455"/>
      <c r="S465" s="455"/>
      <c r="T465" s="455"/>
      <c r="U465" s="455"/>
      <c r="V465" s="455"/>
      <c r="W465" s="455"/>
      <c r="X465" s="455"/>
      <c r="Y465" s="455"/>
      <c r="Z465" s="455"/>
      <c r="AA465" s="455"/>
      <c r="AB465" s="455"/>
    </row>
    <row r="466" spans="8:28" s="439" customFormat="1" ht="10.5">
      <c r="H466" s="455"/>
      <c r="I466" s="455"/>
      <c r="J466" s="455"/>
      <c r="K466" s="455"/>
      <c r="L466" s="455"/>
      <c r="M466" s="455"/>
      <c r="N466" s="455"/>
      <c r="O466" s="455"/>
      <c r="P466" s="455"/>
      <c r="Q466" s="455"/>
      <c r="R466" s="455"/>
      <c r="S466" s="455"/>
      <c r="T466" s="455"/>
      <c r="U466" s="455"/>
      <c r="V466" s="455"/>
      <c r="W466" s="455"/>
      <c r="X466" s="455"/>
      <c r="Y466" s="455"/>
      <c r="Z466" s="455"/>
      <c r="AA466" s="455"/>
      <c r="AB466" s="455"/>
    </row>
    <row r="467" spans="8:28" s="439" customFormat="1" ht="10.5">
      <c r="H467" s="455"/>
      <c r="I467" s="455"/>
      <c r="J467" s="455"/>
      <c r="K467" s="455"/>
      <c r="L467" s="455"/>
      <c r="M467" s="455"/>
      <c r="N467" s="455"/>
      <c r="O467" s="455"/>
      <c r="P467" s="455"/>
      <c r="Q467" s="455"/>
      <c r="R467" s="455"/>
      <c r="S467" s="455"/>
      <c r="T467" s="455"/>
      <c r="U467" s="455"/>
      <c r="V467" s="455"/>
      <c r="W467" s="455"/>
      <c r="X467" s="455"/>
      <c r="Y467" s="455"/>
      <c r="Z467" s="455"/>
      <c r="AA467" s="455"/>
      <c r="AB467" s="455"/>
    </row>
    <row r="468" spans="8:28" s="439" customFormat="1" ht="10.5">
      <c r="H468" s="455"/>
      <c r="I468" s="455"/>
      <c r="J468" s="455"/>
      <c r="K468" s="455"/>
      <c r="L468" s="455"/>
      <c r="M468" s="455"/>
      <c r="N468" s="455"/>
      <c r="O468" s="455"/>
      <c r="P468" s="455"/>
      <c r="Q468" s="455"/>
      <c r="R468" s="455"/>
      <c r="S468" s="455"/>
      <c r="T468" s="455"/>
      <c r="U468" s="455"/>
      <c r="V468" s="455"/>
      <c r="W468" s="455"/>
      <c r="X468" s="455"/>
      <c r="Y468" s="455"/>
      <c r="Z468" s="455"/>
      <c r="AA468" s="455"/>
      <c r="AB468" s="455"/>
    </row>
    <row r="469" spans="8:28" s="439" customFormat="1" ht="10.5">
      <c r="H469" s="455"/>
      <c r="I469" s="455"/>
      <c r="J469" s="455"/>
      <c r="K469" s="455"/>
      <c r="L469" s="455"/>
      <c r="M469" s="455"/>
      <c r="N469" s="455"/>
      <c r="O469" s="455"/>
      <c r="P469" s="455"/>
      <c r="Q469" s="455"/>
      <c r="R469" s="455"/>
      <c r="S469" s="455"/>
      <c r="T469" s="455"/>
      <c r="U469" s="455"/>
      <c r="V469" s="455"/>
      <c r="W469" s="455"/>
      <c r="X469" s="455"/>
      <c r="Y469" s="455"/>
      <c r="Z469" s="455"/>
      <c r="AA469" s="455"/>
      <c r="AB469" s="455"/>
    </row>
    <row r="470" spans="8:28" s="439" customFormat="1" ht="10.5">
      <c r="H470" s="455"/>
      <c r="I470" s="455"/>
      <c r="J470" s="455"/>
      <c r="K470" s="455"/>
      <c r="L470" s="455"/>
      <c r="M470" s="455"/>
      <c r="N470" s="455"/>
      <c r="O470" s="455"/>
      <c r="P470" s="455"/>
      <c r="Q470" s="455"/>
      <c r="R470" s="455"/>
      <c r="S470" s="455"/>
      <c r="T470" s="455"/>
      <c r="U470" s="455"/>
      <c r="V470" s="455"/>
      <c r="W470" s="455"/>
      <c r="X470" s="455"/>
      <c r="Y470" s="455"/>
      <c r="Z470" s="455"/>
      <c r="AA470" s="455"/>
      <c r="AB470" s="455"/>
    </row>
    <row r="471" spans="8:28" s="439" customFormat="1" ht="10.5">
      <c r="H471" s="455"/>
      <c r="I471" s="455"/>
      <c r="J471" s="455"/>
      <c r="K471" s="455"/>
      <c r="L471" s="455"/>
      <c r="M471" s="455"/>
      <c r="N471" s="455"/>
      <c r="O471" s="455"/>
      <c r="P471" s="455"/>
      <c r="Q471" s="455"/>
      <c r="R471" s="455"/>
      <c r="S471" s="455"/>
      <c r="T471" s="455"/>
      <c r="U471" s="455"/>
      <c r="V471" s="455"/>
      <c r="W471" s="455"/>
      <c r="X471" s="455"/>
      <c r="Y471" s="455"/>
      <c r="Z471" s="455"/>
      <c r="AA471" s="455"/>
      <c r="AB471" s="455"/>
    </row>
    <row r="472" spans="8:28" s="439" customFormat="1" ht="10.5">
      <c r="H472" s="455"/>
      <c r="I472" s="455"/>
      <c r="J472" s="455"/>
      <c r="K472" s="455"/>
      <c r="L472" s="455"/>
      <c r="M472" s="455"/>
      <c r="N472" s="455"/>
      <c r="O472" s="455"/>
      <c r="P472" s="455"/>
      <c r="Q472" s="455"/>
      <c r="R472" s="455"/>
      <c r="S472" s="455"/>
      <c r="T472" s="455"/>
      <c r="U472" s="455"/>
      <c r="V472" s="455"/>
      <c r="W472" s="455"/>
      <c r="X472" s="455"/>
      <c r="Y472" s="455"/>
      <c r="Z472" s="455"/>
      <c r="AA472" s="455"/>
      <c r="AB472" s="455"/>
    </row>
    <row r="473" spans="8:28" s="439" customFormat="1" ht="10.5">
      <c r="H473" s="455"/>
      <c r="I473" s="455"/>
      <c r="J473" s="455"/>
      <c r="K473" s="455"/>
      <c r="L473" s="455"/>
      <c r="M473" s="455"/>
      <c r="N473" s="455"/>
      <c r="O473" s="455"/>
      <c r="P473" s="455"/>
      <c r="Q473" s="455"/>
      <c r="R473" s="455"/>
      <c r="S473" s="455"/>
      <c r="T473" s="455"/>
      <c r="U473" s="455"/>
      <c r="V473" s="455"/>
      <c r="W473" s="455"/>
      <c r="X473" s="455"/>
      <c r="Y473" s="455"/>
      <c r="Z473" s="455"/>
      <c r="AA473" s="455"/>
      <c r="AB473" s="455"/>
    </row>
    <row r="474" spans="8:28" s="439" customFormat="1" ht="10.5">
      <c r="H474" s="455"/>
      <c r="I474" s="455"/>
      <c r="J474" s="455"/>
      <c r="K474" s="455"/>
      <c r="L474" s="455"/>
      <c r="M474" s="455"/>
      <c r="N474" s="455"/>
      <c r="O474" s="455"/>
      <c r="P474" s="455"/>
      <c r="Q474" s="455"/>
      <c r="R474" s="455"/>
      <c r="S474" s="455"/>
      <c r="T474" s="455"/>
      <c r="U474" s="455"/>
      <c r="V474" s="455"/>
      <c r="W474" s="455"/>
      <c r="X474" s="455"/>
      <c r="Y474" s="455"/>
      <c r="Z474" s="455"/>
      <c r="AA474" s="455"/>
      <c r="AB474" s="455"/>
    </row>
    <row r="475" spans="8:28" s="439" customFormat="1" ht="10.5">
      <c r="H475" s="455"/>
      <c r="I475" s="455"/>
      <c r="J475" s="455"/>
      <c r="K475" s="455"/>
      <c r="L475" s="455"/>
      <c r="M475" s="455"/>
      <c r="N475" s="455"/>
      <c r="O475" s="455"/>
      <c r="P475" s="455"/>
      <c r="Q475" s="455"/>
      <c r="R475" s="455"/>
      <c r="S475" s="455"/>
      <c r="T475" s="455"/>
      <c r="U475" s="455"/>
      <c r="V475" s="455"/>
      <c r="W475" s="455"/>
      <c r="X475" s="455"/>
      <c r="Y475" s="455"/>
      <c r="Z475" s="455"/>
      <c r="AA475" s="455"/>
      <c r="AB475" s="455"/>
    </row>
    <row r="476" spans="8:28" s="439" customFormat="1" ht="10.5">
      <c r="H476" s="455"/>
      <c r="I476" s="455"/>
      <c r="J476" s="455"/>
      <c r="K476" s="455"/>
      <c r="L476" s="455"/>
      <c r="M476" s="455"/>
      <c r="N476" s="455"/>
      <c r="O476" s="455"/>
      <c r="P476" s="455"/>
      <c r="Q476" s="455"/>
      <c r="R476" s="455"/>
      <c r="S476" s="455"/>
      <c r="T476" s="455"/>
      <c r="U476" s="455"/>
      <c r="V476" s="455"/>
      <c r="W476" s="455"/>
      <c r="X476" s="455"/>
      <c r="Y476" s="455"/>
      <c r="Z476" s="455"/>
      <c r="AA476" s="455"/>
      <c r="AB476" s="455"/>
    </row>
    <row r="477" spans="8:28" s="439" customFormat="1" ht="10.5">
      <c r="H477" s="455"/>
      <c r="I477" s="455"/>
      <c r="J477" s="455"/>
      <c r="K477" s="455"/>
      <c r="L477" s="455"/>
      <c r="M477" s="455"/>
      <c r="N477" s="455"/>
      <c r="O477" s="455"/>
      <c r="P477" s="455"/>
      <c r="Q477" s="455"/>
      <c r="R477" s="455"/>
      <c r="S477" s="455"/>
      <c r="T477" s="455"/>
      <c r="U477" s="455"/>
      <c r="V477" s="455"/>
      <c r="W477" s="455"/>
      <c r="X477" s="455"/>
      <c r="Y477" s="455"/>
      <c r="Z477" s="455"/>
      <c r="AA477" s="455"/>
      <c r="AB477" s="455"/>
    </row>
    <row r="478" spans="8:28" s="439" customFormat="1" ht="10.5">
      <c r="H478" s="455"/>
      <c r="I478" s="455"/>
      <c r="J478" s="455"/>
      <c r="K478" s="455"/>
      <c r="L478" s="455"/>
      <c r="M478" s="455"/>
      <c r="N478" s="455"/>
      <c r="O478" s="455"/>
      <c r="P478" s="455"/>
      <c r="Q478" s="455"/>
      <c r="R478" s="455"/>
      <c r="S478" s="455"/>
      <c r="T478" s="455"/>
      <c r="U478" s="455"/>
      <c r="V478" s="455"/>
      <c r="W478" s="455"/>
      <c r="X478" s="455"/>
      <c r="Y478" s="455"/>
      <c r="Z478" s="455"/>
      <c r="AA478" s="455"/>
      <c r="AB478" s="455"/>
    </row>
    <row r="479" spans="8:28" s="439" customFormat="1" ht="10.5">
      <c r="H479" s="455"/>
      <c r="I479" s="455"/>
      <c r="J479" s="455"/>
      <c r="K479" s="455"/>
      <c r="L479" s="455"/>
      <c r="M479" s="455"/>
      <c r="N479" s="455"/>
      <c r="O479" s="455"/>
      <c r="P479" s="455"/>
      <c r="Q479" s="455"/>
      <c r="R479" s="455"/>
      <c r="S479" s="455"/>
      <c r="T479" s="455"/>
      <c r="U479" s="455"/>
      <c r="V479" s="455"/>
      <c r="W479" s="455"/>
      <c r="X479" s="455"/>
      <c r="Y479" s="455"/>
      <c r="Z479" s="455"/>
      <c r="AA479" s="455"/>
      <c r="AB479" s="455"/>
    </row>
    <row r="480" spans="8:28" s="439" customFormat="1" ht="10.5">
      <c r="H480" s="455"/>
      <c r="I480" s="455"/>
      <c r="J480" s="455"/>
      <c r="K480" s="455"/>
      <c r="L480" s="455"/>
      <c r="M480" s="455"/>
      <c r="N480" s="455"/>
      <c r="O480" s="455"/>
      <c r="P480" s="455"/>
      <c r="Q480" s="455"/>
      <c r="R480" s="455"/>
      <c r="S480" s="455"/>
      <c r="T480" s="455"/>
      <c r="U480" s="455"/>
      <c r="V480" s="455"/>
      <c r="W480" s="455"/>
      <c r="X480" s="455"/>
      <c r="Y480" s="455"/>
      <c r="Z480" s="455"/>
      <c r="AA480" s="455"/>
      <c r="AB480" s="455"/>
    </row>
    <row r="481" spans="8:28" s="439" customFormat="1" ht="10.5">
      <c r="H481" s="455"/>
      <c r="I481" s="455"/>
      <c r="J481" s="455"/>
      <c r="K481" s="455"/>
      <c r="L481" s="455"/>
      <c r="M481" s="455"/>
      <c r="N481" s="455"/>
      <c r="O481" s="455"/>
      <c r="P481" s="455"/>
      <c r="Q481" s="455"/>
      <c r="R481" s="455"/>
      <c r="S481" s="455"/>
      <c r="T481" s="455"/>
      <c r="U481" s="455"/>
      <c r="V481" s="455"/>
      <c r="W481" s="455"/>
      <c r="X481" s="455"/>
      <c r="Y481" s="455"/>
      <c r="Z481" s="455"/>
      <c r="AA481" s="455"/>
      <c r="AB481" s="455"/>
    </row>
    <row r="482" spans="8:28" s="439" customFormat="1" ht="10.5">
      <c r="H482" s="455"/>
      <c r="I482" s="455"/>
      <c r="J482" s="455"/>
      <c r="K482" s="455"/>
      <c r="L482" s="455"/>
      <c r="M482" s="455"/>
      <c r="N482" s="455"/>
      <c r="O482" s="455"/>
      <c r="P482" s="455"/>
      <c r="Q482" s="455"/>
      <c r="R482" s="455"/>
      <c r="S482" s="455"/>
      <c r="T482" s="455"/>
      <c r="U482" s="455"/>
      <c r="V482" s="455"/>
      <c r="W482" s="455"/>
      <c r="X482" s="455"/>
      <c r="Y482" s="455"/>
      <c r="Z482" s="455"/>
      <c r="AA482" s="455"/>
      <c r="AB482" s="455"/>
    </row>
    <row r="483" spans="8:28" s="439" customFormat="1" ht="10.5">
      <c r="H483" s="455"/>
      <c r="I483" s="455"/>
      <c r="J483" s="455"/>
      <c r="K483" s="455"/>
      <c r="L483" s="455"/>
      <c r="M483" s="455"/>
      <c r="N483" s="455"/>
      <c r="O483" s="455"/>
      <c r="P483" s="455"/>
      <c r="Q483" s="455"/>
      <c r="R483" s="455"/>
      <c r="S483" s="455"/>
      <c r="T483" s="455"/>
      <c r="U483" s="455"/>
      <c r="V483" s="455"/>
      <c r="W483" s="455"/>
      <c r="X483" s="455"/>
      <c r="Y483" s="455"/>
      <c r="Z483" s="455"/>
      <c r="AA483" s="455"/>
      <c r="AB483" s="455"/>
    </row>
    <row r="484" spans="8:28" s="439" customFormat="1" ht="10.5">
      <c r="H484" s="455"/>
      <c r="I484" s="455"/>
      <c r="J484" s="455"/>
      <c r="K484" s="455"/>
      <c r="L484" s="455"/>
      <c r="M484" s="455"/>
      <c r="N484" s="455"/>
      <c r="O484" s="455"/>
      <c r="P484" s="455"/>
      <c r="Q484" s="455"/>
      <c r="R484" s="455"/>
      <c r="S484" s="455"/>
      <c r="T484" s="455"/>
      <c r="U484" s="455"/>
      <c r="V484" s="455"/>
      <c r="W484" s="455"/>
      <c r="X484" s="455"/>
      <c r="Y484" s="455"/>
      <c r="Z484" s="455"/>
      <c r="AA484" s="455"/>
      <c r="AB484" s="455"/>
    </row>
    <row r="485" spans="8:28" s="439" customFormat="1" ht="10.5">
      <c r="H485" s="455"/>
      <c r="I485" s="455"/>
      <c r="J485" s="455"/>
      <c r="K485" s="455"/>
      <c r="L485" s="455"/>
      <c r="M485" s="455"/>
      <c r="N485" s="455"/>
      <c r="O485" s="455"/>
      <c r="P485" s="455"/>
      <c r="Q485" s="455"/>
      <c r="R485" s="455"/>
      <c r="S485" s="455"/>
      <c r="T485" s="455"/>
      <c r="U485" s="455"/>
      <c r="V485" s="455"/>
      <c r="W485" s="455"/>
      <c r="X485" s="455"/>
      <c r="Y485" s="455"/>
      <c r="Z485" s="455"/>
      <c r="AA485" s="455"/>
      <c r="AB485" s="455"/>
    </row>
    <row r="486" spans="8:28" s="439" customFormat="1" ht="10.5">
      <c r="H486" s="455"/>
      <c r="I486" s="455"/>
      <c r="J486" s="455"/>
      <c r="K486" s="455"/>
      <c r="L486" s="455"/>
      <c r="M486" s="455"/>
      <c r="N486" s="455"/>
      <c r="O486" s="455"/>
      <c r="P486" s="455"/>
      <c r="Q486" s="455"/>
      <c r="R486" s="455"/>
      <c r="S486" s="455"/>
      <c r="T486" s="455"/>
      <c r="U486" s="455"/>
      <c r="V486" s="455"/>
      <c r="W486" s="455"/>
      <c r="X486" s="455"/>
      <c r="Y486" s="455"/>
      <c r="Z486" s="455"/>
      <c r="AA486" s="455"/>
      <c r="AB486" s="455"/>
    </row>
    <row r="487" spans="8:28" s="439" customFormat="1" ht="10.5">
      <c r="H487" s="455"/>
      <c r="I487" s="455"/>
      <c r="J487" s="455"/>
      <c r="K487" s="455"/>
      <c r="L487" s="455"/>
      <c r="M487" s="455"/>
      <c r="N487" s="455"/>
      <c r="O487" s="455"/>
      <c r="P487" s="455"/>
      <c r="Q487" s="455"/>
      <c r="R487" s="455"/>
      <c r="S487" s="455"/>
      <c r="T487" s="455"/>
      <c r="U487" s="455"/>
      <c r="V487" s="455"/>
      <c r="W487" s="455"/>
      <c r="X487" s="455"/>
      <c r="Y487" s="455"/>
      <c r="Z487" s="455"/>
      <c r="AA487" s="455"/>
      <c r="AB487" s="455"/>
    </row>
    <row r="488" spans="8:28" s="439" customFormat="1" ht="10.5">
      <c r="H488" s="455"/>
      <c r="I488" s="455"/>
      <c r="J488" s="455"/>
      <c r="K488" s="455"/>
      <c r="L488" s="455"/>
      <c r="M488" s="455"/>
      <c r="N488" s="455"/>
      <c r="O488" s="455"/>
      <c r="P488" s="455"/>
      <c r="Q488" s="455"/>
      <c r="R488" s="455"/>
      <c r="S488" s="455"/>
      <c r="T488" s="455"/>
      <c r="U488" s="455"/>
      <c r="V488" s="455"/>
      <c r="W488" s="455"/>
      <c r="X488" s="455"/>
      <c r="Y488" s="455"/>
      <c r="Z488" s="455"/>
      <c r="AA488" s="455"/>
      <c r="AB488" s="455"/>
    </row>
    <row r="489" spans="8:28" s="439" customFormat="1" ht="10.5">
      <c r="H489" s="455"/>
      <c r="I489" s="455"/>
      <c r="J489" s="455"/>
      <c r="K489" s="455"/>
      <c r="L489" s="455"/>
      <c r="M489" s="455"/>
      <c r="N489" s="455"/>
      <c r="O489" s="455"/>
      <c r="P489" s="455"/>
      <c r="Q489" s="455"/>
      <c r="R489" s="455"/>
      <c r="S489" s="455"/>
      <c r="T489" s="455"/>
      <c r="U489" s="455"/>
      <c r="V489" s="455"/>
      <c r="W489" s="455"/>
      <c r="X489" s="455"/>
      <c r="Y489" s="455"/>
      <c r="Z489" s="455"/>
      <c r="AA489" s="455"/>
      <c r="AB489" s="455"/>
    </row>
    <row r="490" spans="8:28" s="439" customFormat="1" ht="10.5">
      <c r="H490" s="455"/>
      <c r="I490" s="455"/>
      <c r="J490" s="455"/>
      <c r="K490" s="455"/>
      <c r="L490" s="455"/>
      <c r="M490" s="455"/>
      <c r="N490" s="455"/>
      <c r="O490" s="455"/>
      <c r="P490" s="455"/>
      <c r="Q490" s="455"/>
      <c r="R490" s="455"/>
      <c r="S490" s="455"/>
      <c r="T490" s="455"/>
      <c r="U490" s="455"/>
      <c r="V490" s="455"/>
      <c r="W490" s="455"/>
      <c r="X490" s="455"/>
      <c r="Y490" s="455"/>
      <c r="Z490" s="455"/>
      <c r="AA490" s="455"/>
      <c r="AB490" s="455"/>
    </row>
    <row r="491" spans="8:28" s="439" customFormat="1" ht="10.5">
      <c r="H491" s="455"/>
      <c r="I491" s="455"/>
      <c r="J491" s="455"/>
      <c r="K491" s="455"/>
      <c r="L491" s="455"/>
      <c r="M491" s="455"/>
      <c r="N491" s="455"/>
      <c r="O491" s="455"/>
      <c r="P491" s="455"/>
      <c r="Q491" s="455"/>
      <c r="R491" s="455"/>
      <c r="S491" s="455"/>
      <c r="T491" s="455"/>
      <c r="U491" s="455"/>
      <c r="V491" s="455"/>
      <c r="W491" s="455"/>
      <c r="X491" s="455"/>
      <c r="Y491" s="455"/>
      <c r="Z491" s="455"/>
      <c r="AA491" s="455"/>
      <c r="AB491" s="455"/>
    </row>
    <row r="492" spans="8:28" s="439" customFormat="1" ht="10.5">
      <c r="H492" s="455"/>
      <c r="I492" s="455"/>
      <c r="J492" s="455"/>
      <c r="K492" s="455"/>
      <c r="L492" s="455"/>
      <c r="M492" s="455"/>
      <c r="N492" s="455"/>
      <c r="O492" s="455"/>
      <c r="P492" s="455"/>
      <c r="Q492" s="455"/>
      <c r="R492" s="455"/>
      <c r="S492" s="455"/>
      <c r="T492" s="455"/>
      <c r="U492" s="455"/>
      <c r="V492" s="455"/>
      <c r="W492" s="455"/>
      <c r="X492" s="455"/>
      <c r="Y492" s="455"/>
      <c r="Z492" s="455"/>
      <c r="AA492" s="455"/>
      <c r="AB492" s="455"/>
    </row>
    <row r="493" spans="8:28" s="439" customFormat="1" ht="10.5">
      <c r="H493" s="455"/>
      <c r="I493" s="455"/>
      <c r="J493" s="455"/>
      <c r="K493" s="455"/>
      <c r="L493" s="455"/>
      <c r="M493" s="455"/>
      <c r="N493" s="455"/>
      <c r="O493" s="455"/>
      <c r="P493" s="455"/>
      <c r="Q493" s="455"/>
      <c r="R493" s="455"/>
      <c r="S493" s="455"/>
      <c r="T493" s="455"/>
      <c r="U493" s="455"/>
      <c r="V493" s="455"/>
      <c r="W493" s="455"/>
      <c r="X493" s="455"/>
      <c r="Y493" s="455"/>
      <c r="Z493" s="455"/>
      <c r="AA493" s="455"/>
      <c r="AB493" s="455"/>
    </row>
    <row r="494" spans="8:28" s="439" customFormat="1" ht="10.5">
      <c r="H494" s="455"/>
      <c r="I494" s="455"/>
      <c r="J494" s="455"/>
      <c r="K494" s="455"/>
      <c r="L494" s="455"/>
      <c r="M494" s="455"/>
      <c r="N494" s="455"/>
      <c r="O494" s="455"/>
      <c r="P494" s="455"/>
      <c r="Q494" s="455"/>
      <c r="R494" s="455"/>
      <c r="S494" s="455"/>
      <c r="T494" s="455"/>
      <c r="U494" s="455"/>
      <c r="V494" s="455"/>
      <c r="W494" s="455"/>
      <c r="X494" s="455"/>
      <c r="Y494" s="455"/>
      <c r="Z494" s="455"/>
      <c r="AA494" s="455"/>
      <c r="AB494" s="455"/>
    </row>
    <row r="495" spans="8:28" s="439" customFormat="1" ht="10.5">
      <c r="H495" s="455"/>
      <c r="I495" s="455"/>
      <c r="J495" s="455"/>
      <c r="K495" s="455"/>
      <c r="L495" s="455"/>
      <c r="M495" s="455"/>
      <c r="N495" s="455"/>
      <c r="O495" s="455"/>
      <c r="P495" s="455"/>
      <c r="Q495" s="455"/>
      <c r="R495" s="455"/>
      <c r="S495" s="455"/>
      <c r="T495" s="455"/>
      <c r="U495" s="455"/>
      <c r="V495" s="455"/>
      <c r="W495" s="455"/>
      <c r="X495" s="455"/>
      <c r="Y495" s="455"/>
      <c r="Z495" s="455"/>
      <c r="AA495" s="455"/>
      <c r="AB495" s="455"/>
    </row>
    <row r="496" spans="8:28" s="439" customFormat="1" ht="10.5">
      <c r="H496" s="455"/>
      <c r="I496" s="455"/>
      <c r="J496" s="455"/>
      <c r="K496" s="455"/>
      <c r="L496" s="455"/>
      <c r="M496" s="455"/>
      <c r="N496" s="455"/>
      <c r="O496" s="455"/>
      <c r="P496" s="455"/>
      <c r="Q496" s="455"/>
      <c r="R496" s="455"/>
      <c r="S496" s="455"/>
      <c r="T496" s="455"/>
      <c r="U496" s="455"/>
      <c r="V496" s="455"/>
      <c r="W496" s="455"/>
      <c r="X496" s="455"/>
      <c r="Y496" s="455"/>
      <c r="Z496" s="455"/>
      <c r="AA496" s="455"/>
      <c r="AB496" s="455"/>
    </row>
    <row r="497" spans="8:28" s="439" customFormat="1" ht="10.5">
      <c r="H497" s="455"/>
      <c r="I497" s="455"/>
      <c r="J497" s="455"/>
      <c r="K497" s="455"/>
      <c r="L497" s="455"/>
      <c r="M497" s="455"/>
      <c r="N497" s="455"/>
      <c r="O497" s="455"/>
      <c r="P497" s="455"/>
      <c r="Q497" s="455"/>
      <c r="R497" s="455"/>
      <c r="S497" s="455"/>
      <c r="T497" s="455"/>
      <c r="U497" s="455"/>
      <c r="V497" s="455"/>
      <c r="W497" s="455"/>
      <c r="X497" s="455"/>
      <c r="Y497" s="455"/>
      <c r="Z497" s="455"/>
      <c r="AA497" s="455"/>
      <c r="AB497" s="455"/>
    </row>
    <row r="498" spans="8:28" s="439" customFormat="1" ht="10.5">
      <c r="H498" s="455"/>
      <c r="I498" s="455"/>
      <c r="J498" s="455"/>
      <c r="K498" s="455"/>
      <c r="L498" s="455"/>
      <c r="M498" s="455"/>
      <c r="N498" s="455"/>
      <c r="O498" s="455"/>
      <c r="P498" s="455"/>
      <c r="Q498" s="455"/>
      <c r="R498" s="455"/>
      <c r="S498" s="455"/>
      <c r="T498" s="455"/>
      <c r="U498" s="455"/>
      <c r="V498" s="455"/>
      <c r="W498" s="455"/>
      <c r="X498" s="455"/>
      <c r="Y498" s="455"/>
      <c r="Z498" s="455"/>
      <c r="AA498" s="455"/>
      <c r="AB498" s="455"/>
    </row>
    <row r="499" spans="8:28" s="439" customFormat="1" ht="10.5">
      <c r="H499" s="455"/>
      <c r="I499" s="455"/>
      <c r="J499" s="455"/>
      <c r="K499" s="455"/>
      <c r="L499" s="455"/>
      <c r="M499" s="455"/>
      <c r="N499" s="455"/>
      <c r="O499" s="455"/>
      <c r="P499" s="455"/>
      <c r="Q499" s="455"/>
      <c r="R499" s="455"/>
      <c r="S499" s="455"/>
      <c r="T499" s="455"/>
      <c r="U499" s="455"/>
      <c r="V499" s="455"/>
      <c r="W499" s="455"/>
      <c r="X499" s="455"/>
      <c r="Y499" s="455"/>
      <c r="Z499" s="455"/>
      <c r="AA499" s="455"/>
      <c r="AB499" s="455"/>
    </row>
    <row r="500" spans="8:28" s="439" customFormat="1" ht="10.5">
      <c r="H500" s="455"/>
      <c r="I500" s="455"/>
      <c r="J500" s="455"/>
      <c r="K500" s="455"/>
      <c r="L500" s="455"/>
      <c r="M500" s="455"/>
      <c r="N500" s="455"/>
      <c r="O500" s="455"/>
      <c r="P500" s="455"/>
      <c r="Q500" s="455"/>
      <c r="R500" s="455"/>
      <c r="S500" s="455"/>
      <c r="T500" s="455"/>
      <c r="U500" s="455"/>
      <c r="V500" s="455"/>
      <c r="W500" s="455"/>
      <c r="X500" s="455"/>
      <c r="Y500" s="455"/>
      <c r="Z500" s="455"/>
      <c r="AA500" s="455"/>
      <c r="AB500" s="455"/>
    </row>
    <row r="501" spans="8:28" s="439" customFormat="1" ht="10.5">
      <c r="H501" s="455"/>
      <c r="I501" s="455"/>
      <c r="J501" s="455"/>
      <c r="K501" s="455"/>
      <c r="L501" s="455"/>
      <c r="M501" s="455"/>
      <c r="N501" s="455"/>
      <c r="O501" s="455"/>
      <c r="P501" s="455"/>
      <c r="Q501" s="455"/>
      <c r="R501" s="455"/>
      <c r="S501" s="455"/>
      <c r="T501" s="455"/>
      <c r="U501" s="455"/>
      <c r="V501" s="455"/>
      <c r="W501" s="455"/>
      <c r="X501" s="455"/>
      <c r="Y501" s="455"/>
      <c r="Z501" s="455"/>
      <c r="AA501" s="455"/>
      <c r="AB501" s="455"/>
    </row>
    <row r="502" spans="8:28" s="439" customFormat="1" ht="10.5">
      <c r="H502" s="455"/>
      <c r="I502" s="455"/>
      <c r="J502" s="455"/>
      <c r="K502" s="455"/>
      <c r="L502" s="455"/>
      <c r="M502" s="455"/>
      <c r="N502" s="455"/>
      <c r="O502" s="455"/>
      <c r="P502" s="455"/>
      <c r="Q502" s="455"/>
      <c r="R502" s="455"/>
      <c r="S502" s="455"/>
      <c r="T502" s="455"/>
      <c r="U502" s="455"/>
      <c r="V502" s="455"/>
      <c r="W502" s="455"/>
      <c r="X502" s="455"/>
      <c r="Y502" s="455"/>
      <c r="Z502" s="455"/>
      <c r="AA502" s="455"/>
      <c r="AB502" s="455"/>
    </row>
    <row r="503" spans="8:28" s="439" customFormat="1" ht="10.5">
      <c r="H503" s="455"/>
      <c r="I503" s="455"/>
      <c r="J503" s="455"/>
      <c r="K503" s="455"/>
      <c r="L503" s="455"/>
      <c r="M503" s="455"/>
      <c r="N503" s="455"/>
      <c r="O503" s="455"/>
      <c r="P503" s="455"/>
      <c r="Q503" s="455"/>
      <c r="R503" s="455"/>
      <c r="S503" s="455"/>
      <c r="T503" s="455"/>
      <c r="U503" s="455"/>
      <c r="V503" s="455"/>
      <c r="W503" s="455"/>
      <c r="X503" s="455"/>
      <c r="Y503" s="455"/>
      <c r="Z503" s="455"/>
      <c r="AA503" s="455"/>
      <c r="AB503" s="455"/>
    </row>
    <row r="504" spans="8:28" s="439" customFormat="1" ht="10.5">
      <c r="H504" s="455"/>
      <c r="I504" s="455"/>
      <c r="J504" s="455"/>
      <c r="K504" s="455"/>
      <c r="L504" s="455"/>
      <c r="M504" s="455"/>
      <c r="N504" s="455"/>
      <c r="O504" s="455"/>
      <c r="P504" s="455"/>
      <c r="Q504" s="455"/>
      <c r="R504" s="455"/>
      <c r="S504" s="455"/>
      <c r="T504" s="455"/>
      <c r="U504" s="455"/>
      <c r="V504" s="455"/>
      <c r="W504" s="455"/>
      <c r="X504" s="455"/>
      <c r="Y504" s="455"/>
      <c r="Z504" s="455"/>
      <c r="AA504" s="455"/>
      <c r="AB504" s="455"/>
    </row>
    <row r="505" spans="8:28" s="439" customFormat="1" ht="10.5">
      <c r="H505" s="455"/>
      <c r="I505" s="455"/>
      <c r="J505" s="455"/>
      <c r="K505" s="455"/>
      <c r="L505" s="455"/>
      <c r="M505" s="455"/>
      <c r="N505" s="455"/>
      <c r="O505" s="455"/>
      <c r="P505" s="455"/>
      <c r="Q505" s="455"/>
      <c r="R505" s="455"/>
      <c r="S505" s="455"/>
      <c r="T505" s="455"/>
      <c r="U505" s="455"/>
      <c r="V505" s="455"/>
      <c r="W505" s="455"/>
      <c r="X505" s="455"/>
      <c r="Y505" s="455"/>
      <c r="Z505" s="455"/>
      <c r="AA505" s="455"/>
      <c r="AB505" s="455"/>
    </row>
    <row r="506" spans="8:28" s="439" customFormat="1" ht="10.5">
      <c r="H506" s="455"/>
      <c r="I506" s="455"/>
      <c r="J506" s="455"/>
      <c r="K506" s="455"/>
      <c r="L506" s="455"/>
      <c r="M506" s="455"/>
      <c r="N506" s="455"/>
      <c r="O506" s="455"/>
      <c r="P506" s="455"/>
      <c r="Q506" s="455"/>
      <c r="R506" s="455"/>
      <c r="S506" s="455"/>
      <c r="T506" s="455"/>
      <c r="U506" s="455"/>
      <c r="V506" s="455"/>
      <c r="W506" s="455"/>
      <c r="X506" s="455"/>
      <c r="Y506" s="455"/>
      <c r="Z506" s="455"/>
      <c r="AA506" s="455"/>
      <c r="AB506" s="455"/>
    </row>
    <row r="507" spans="8:28" s="439" customFormat="1" ht="10.5">
      <c r="H507" s="455"/>
      <c r="I507" s="455"/>
      <c r="J507" s="455"/>
      <c r="K507" s="455"/>
      <c r="L507" s="455"/>
      <c r="M507" s="455"/>
      <c r="N507" s="455"/>
      <c r="O507" s="455"/>
      <c r="P507" s="455"/>
      <c r="Q507" s="455"/>
      <c r="R507" s="455"/>
      <c r="S507" s="455"/>
      <c r="T507" s="455"/>
      <c r="U507" s="455"/>
      <c r="V507" s="455"/>
      <c r="W507" s="455"/>
      <c r="X507" s="455"/>
      <c r="Y507" s="455"/>
      <c r="Z507" s="455"/>
      <c r="AA507" s="455"/>
      <c r="AB507" s="455"/>
    </row>
    <row r="508" spans="8:28" s="439" customFormat="1" ht="10.5">
      <c r="H508" s="455"/>
      <c r="I508" s="455"/>
      <c r="J508" s="455"/>
      <c r="K508" s="455"/>
      <c r="L508" s="455"/>
      <c r="M508" s="455"/>
      <c r="N508" s="455"/>
      <c r="O508" s="455"/>
      <c r="P508" s="455"/>
      <c r="Q508" s="455"/>
      <c r="R508" s="455"/>
      <c r="S508" s="455"/>
      <c r="T508" s="455"/>
      <c r="U508" s="455"/>
      <c r="V508" s="455"/>
      <c r="W508" s="455"/>
      <c r="X508" s="455"/>
      <c r="Y508" s="455"/>
      <c r="Z508" s="455"/>
      <c r="AA508" s="455"/>
      <c r="AB508" s="455"/>
    </row>
    <row r="509" spans="8:28" s="439" customFormat="1" ht="10.5">
      <c r="H509" s="455"/>
      <c r="I509" s="455"/>
      <c r="J509" s="455"/>
      <c r="K509" s="455"/>
      <c r="L509" s="455"/>
      <c r="M509" s="455"/>
      <c r="N509" s="455"/>
      <c r="O509" s="455"/>
      <c r="P509" s="455"/>
      <c r="Q509" s="455"/>
      <c r="R509" s="455"/>
      <c r="S509" s="455"/>
      <c r="T509" s="455"/>
      <c r="U509" s="455"/>
      <c r="V509" s="455"/>
      <c r="W509" s="455"/>
      <c r="X509" s="455"/>
      <c r="Y509" s="455"/>
      <c r="Z509" s="455"/>
      <c r="AA509" s="455"/>
      <c r="AB509" s="455"/>
    </row>
    <row r="510" spans="8:28" s="439" customFormat="1" ht="10.5">
      <c r="H510" s="455"/>
      <c r="I510" s="455"/>
      <c r="J510" s="455"/>
      <c r="K510" s="455"/>
      <c r="L510" s="455"/>
      <c r="M510" s="455"/>
      <c r="N510" s="455"/>
      <c r="O510" s="455"/>
      <c r="P510" s="455"/>
      <c r="Q510" s="455"/>
      <c r="R510" s="455"/>
      <c r="S510" s="455"/>
      <c r="T510" s="455"/>
      <c r="U510" s="455"/>
      <c r="V510" s="455"/>
      <c r="W510" s="455"/>
      <c r="X510" s="455"/>
      <c r="Y510" s="455"/>
      <c r="Z510" s="455"/>
      <c r="AA510" s="455"/>
      <c r="AB510" s="455"/>
    </row>
    <row r="511" spans="8:28" s="439" customFormat="1" ht="10.5">
      <c r="H511" s="455"/>
      <c r="I511" s="455"/>
      <c r="J511" s="455"/>
      <c r="K511" s="455"/>
      <c r="L511" s="455"/>
      <c r="M511" s="455"/>
      <c r="N511" s="455"/>
      <c r="O511" s="455"/>
      <c r="P511" s="455"/>
      <c r="Q511" s="455"/>
      <c r="R511" s="455"/>
      <c r="S511" s="455"/>
      <c r="T511" s="455"/>
      <c r="U511" s="455"/>
      <c r="V511" s="455"/>
      <c r="W511" s="455"/>
      <c r="X511" s="455"/>
      <c r="Y511" s="455"/>
      <c r="Z511" s="455"/>
      <c r="AA511" s="455"/>
      <c r="AB511" s="455"/>
    </row>
    <row r="512" spans="8:28" s="439" customFormat="1" ht="10.5">
      <c r="H512" s="455"/>
      <c r="I512" s="455"/>
      <c r="J512" s="455"/>
      <c r="K512" s="455"/>
      <c r="L512" s="455"/>
      <c r="M512" s="455"/>
      <c r="N512" s="455"/>
      <c r="O512" s="455"/>
      <c r="P512" s="455"/>
      <c r="Q512" s="455"/>
      <c r="R512" s="455"/>
      <c r="S512" s="455"/>
      <c r="T512" s="455"/>
      <c r="U512" s="455"/>
      <c r="V512" s="455"/>
      <c r="W512" s="455"/>
      <c r="X512" s="455"/>
      <c r="Y512" s="455"/>
      <c r="Z512" s="455"/>
      <c r="AA512" s="455"/>
      <c r="AB512" s="455"/>
    </row>
    <row r="513" spans="8:28" s="439" customFormat="1" ht="10.5">
      <c r="H513" s="455"/>
      <c r="I513" s="455"/>
      <c r="J513" s="455"/>
      <c r="K513" s="455"/>
      <c r="L513" s="455"/>
      <c r="M513" s="455"/>
      <c r="N513" s="455"/>
      <c r="O513" s="455"/>
      <c r="P513" s="455"/>
      <c r="Q513" s="455"/>
      <c r="R513" s="455"/>
      <c r="S513" s="455"/>
      <c r="T513" s="455"/>
      <c r="U513" s="455"/>
      <c r="V513" s="455"/>
      <c r="W513" s="455"/>
      <c r="X513" s="455"/>
      <c r="Y513" s="455"/>
      <c r="Z513" s="455"/>
      <c r="AA513" s="455"/>
      <c r="AB513" s="455"/>
    </row>
    <row r="514" spans="8:28" s="439" customFormat="1" ht="10.5">
      <c r="H514" s="455"/>
      <c r="I514" s="455"/>
      <c r="J514" s="455"/>
      <c r="K514" s="455"/>
      <c r="L514" s="455"/>
      <c r="M514" s="455"/>
      <c r="N514" s="455"/>
      <c r="O514" s="455"/>
      <c r="P514" s="455"/>
      <c r="Q514" s="455"/>
      <c r="R514" s="455"/>
      <c r="S514" s="455"/>
      <c r="T514" s="455"/>
      <c r="U514" s="455"/>
      <c r="V514" s="455"/>
      <c r="W514" s="455"/>
      <c r="X514" s="455"/>
      <c r="Y514" s="455"/>
      <c r="Z514" s="455"/>
      <c r="AA514" s="455"/>
      <c r="AB514" s="455"/>
    </row>
    <row r="515" spans="8:28" s="439" customFormat="1" ht="10.5">
      <c r="H515" s="455"/>
      <c r="I515" s="455"/>
      <c r="J515" s="455"/>
      <c r="K515" s="455"/>
      <c r="L515" s="455"/>
      <c r="M515" s="455"/>
      <c r="N515" s="455"/>
      <c r="O515" s="455"/>
      <c r="P515" s="455"/>
      <c r="Q515" s="455"/>
      <c r="R515" s="455"/>
      <c r="S515" s="455"/>
      <c r="T515" s="455"/>
      <c r="U515" s="455"/>
      <c r="V515" s="455"/>
      <c r="W515" s="455"/>
      <c r="X515" s="455"/>
      <c r="Y515" s="455"/>
      <c r="Z515" s="455"/>
      <c r="AA515" s="455"/>
      <c r="AB515" s="455"/>
    </row>
    <row r="516" spans="8:28" s="439" customFormat="1" ht="10.5">
      <c r="H516" s="455"/>
      <c r="I516" s="455"/>
      <c r="J516" s="455"/>
      <c r="K516" s="455"/>
      <c r="L516" s="455"/>
      <c r="M516" s="455"/>
      <c r="N516" s="455"/>
      <c r="O516" s="455"/>
      <c r="P516" s="455"/>
      <c r="Q516" s="455"/>
      <c r="R516" s="455"/>
      <c r="S516" s="455"/>
      <c r="T516" s="455"/>
      <c r="U516" s="455"/>
      <c r="V516" s="455"/>
      <c r="W516" s="455"/>
      <c r="X516" s="455"/>
      <c r="Y516" s="455"/>
      <c r="Z516" s="455"/>
      <c r="AA516" s="455"/>
      <c r="AB516" s="455"/>
    </row>
    <row r="517" spans="8:28" s="439" customFormat="1" ht="10.5">
      <c r="H517" s="455"/>
      <c r="I517" s="455"/>
      <c r="J517" s="455"/>
      <c r="K517" s="455"/>
      <c r="L517" s="455"/>
      <c r="M517" s="455"/>
      <c r="N517" s="455"/>
      <c r="O517" s="455"/>
      <c r="P517" s="455"/>
      <c r="Q517" s="455"/>
      <c r="R517" s="455"/>
      <c r="S517" s="455"/>
      <c r="T517" s="455"/>
      <c r="U517" s="455"/>
      <c r="V517" s="455"/>
      <c r="W517" s="455"/>
      <c r="X517" s="455"/>
      <c r="Y517" s="455"/>
      <c r="Z517" s="455"/>
      <c r="AA517" s="455"/>
      <c r="AB517" s="455"/>
    </row>
    <row r="518" spans="8:28" s="439" customFormat="1" ht="10.5">
      <c r="H518" s="455"/>
      <c r="I518" s="455"/>
      <c r="J518" s="455"/>
      <c r="K518" s="455"/>
      <c r="L518" s="455"/>
      <c r="M518" s="455"/>
      <c r="N518" s="455"/>
      <c r="O518" s="455"/>
      <c r="P518" s="455"/>
      <c r="Q518" s="455"/>
      <c r="R518" s="455"/>
      <c r="S518" s="455"/>
      <c r="T518" s="455"/>
      <c r="U518" s="455"/>
      <c r="V518" s="455"/>
      <c r="W518" s="455"/>
      <c r="X518" s="455"/>
      <c r="Y518" s="455"/>
      <c r="Z518" s="455"/>
      <c r="AA518" s="455"/>
      <c r="AB518" s="455"/>
    </row>
    <row r="519" spans="8:28" s="439" customFormat="1" ht="10.5">
      <c r="H519" s="455"/>
      <c r="I519" s="455"/>
      <c r="J519" s="455"/>
      <c r="K519" s="455"/>
      <c r="L519" s="455"/>
      <c r="M519" s="455"/>
      <c r="N519" s="455"/>
      <c r="O519" s="455"/>
      <c r="P519" s="455"/>
      <c r="Q519" s="455"/>
      <c r="R519" s="455"/>
      <c r="S519" s="455"/>
      <c r="T519" s="455"/>
      <c r="U519" s="455"/>
      <c r="V519" s="455"/>
      <c r="W519" s="455"/>
      <c r="X519" s="455"/>
      <c r="Y519" s="455"/>
      <c r="Z519" s="455"/>
      <c r="AA519" s="455"/>
      <c r="AB519" s="455"/>
    </row>
    <row r="520" spans="8:28" s="439" customFormat="1" ht="10.5">
      <c r="H520" s="455"/>
      <c r="I520" s="455"/>
      <c r="J520" s="455"/>
      <c r="K520" s="455"/>
      <c r="L520" s="455"/>
      <c r="M520" s="455"/>
      <c r="N520" s="455"/>
      <c r="O520" s="455"/>
      <c r="P520" s="455"/>
      <c r="Q520" s="455"/>
      <c r="R520" s="455"/>
      <c r="S520" s="455"/>
      <c r="T520" s="455"/>
      <c r="U520" s="455"/>
      <c r="V520" s="455"/>
      <c r="W520" s="455"/>
      <c r="X520" s="455"/>
      <c r="Y520" s="455"/>
      <c r="Z520" s="455"/>
      <c r="AA520" s="455"/>
      <c r="AB520" s="455"/>
    </row>
    <row r="521" spans="8:28" s="439" customFormat="1" ht="10.5">
      <c r="H521" s="455"/>
      <c r="I521" s="455"/>
      <c r="J521" s="455"/>
      <c r="K521" s="455"/>
      <c r="L521" s="455"/>
      <c r="M521" s="455"/>
      <c r="N521" s="455"/>
      <c r="O521" s="455"/>
      <c r="P521" s="455"/>
      <c r="Q521" s="455"/>
      <c r="R521" s="455"/>
      <c r="S521" s="455"/>
      <c r="T521" s="455"/>
      <c r="U521" s="455"/>
      <c r="V521" s="455"/>
      <c r="W521" s="455"/>
      <c r="X521" s="455"/>
      <c r="Y521" s="455"/>
      <c r="Z521" s="455"/>
      <c r="AA521" s="455"/>
      <c r="AB521" s="455"/>
    </row>
    <row r="522" spans="8:28" s="439" customFormat="1" ht="10.5">
      <c r="H522" s="455"/>
      <c r="I522" s="455"/>
      <c r="J522" s="455"/>
      <c r="K522" s="455"/>
      <c r="L522" s="455"/>
      <c r="M522" s="455"/>
      <c r="N522" s="455"/>
      <c r="O522" s="455"/>
      <c r="P522" s="455"/>
      <c r="Q522" s="455"/>
      <c r="R522" s="455"/>
      <c r="S522" s="455"/>
      <c r="T522" s="455"/>
      <c r="U522" s="455"/>
      <c r="V522" s="455"/>
      <c r="W522" s="455"/>
      <c r="X522" s="455"/>
      <c r="Y522" s="455"/>
      <c r="Z522" s="455"/>
      <c r="AA522" s="455"/>
      <c r="AB522" s="455"/>
    </row>
    <row r="523" spans="8:28" s="439" customFormat="1" ht="10.5">
      <c r="H523" s="455"/>
      <c r="I523" s="455"/>
      <c r="J523" s="455"/>
      <c r="K523" s="455"/>
      <c r="L523" s="455"/>
      <c r="M523" s="455"/>
      <c r="N523" s="455"/>
      <c r="O523" s="455"/>
      <c r="P523" s="455"/>
      <c r="Q523" s="455"/>
      <c r="R523" s="455"/>
      <c r="S523" s="455"/>
      <c r="T523" s="455"/>
      <c r="U523" s="455"/>
      <c r="V523" s="455"/>
      <c r="W523" s="455"/>
      <c r="X523" s="455"/>
      <c r="Y523" s="455"/>
      <c r="Z523" s="455"/>
      <c r="AA523" s="455"/>
      <c r="AB523" s="455"/>
    </row>
    <row r="524" spans="8:28" s="439" customFormat="1" ht="10.5">
      <c r="H524" s="455"/>
      <c r="I524" s="455"/>
      <c r="J524" s="455"/>
      <c r="K524" s="455"/>
      <c r="L524" s="455"/>
      <c r="M524" s="455"/>
      <c r="N524" s="455"/>
      <c r="O524" s="455"/>
      <c r="P524" s="455"/>
      <c r="Q524" s="455"/>
      <c r="R524" s="455"/>
      <c r="S524" s="455"/>
      <c r="T524" s="455"/>
      <c r="U524" s="455"/>
      <c r="V524" s="455"/>
      <c r="W524" s="455"/>
      <c r="X524" s="455"/>
      <c r="Y524" s="455"/>
      <c r="Z524" s="455"/>
      <c r="AA524" s="455"/>
      <c r="AB524" s="455"/>
    </row>
    <row r="525" spans="8:28" s="439" customFormat="1" ht="10.5">
      <c r="H525" s="455"/>
      <c r="I525" s="455"/>
      <c r="J525" s="455"/>
      <c r="K525" s="455"/>
      <c r="L525" s="455"/>
      <c r="M525" s="455"/>
      <c r="N525" s="455"/>
      <c r="O525" s="455"/>
      <c r="P525" s="455"/>
      <c r="Q525" s="455"/>
      <c r="R525" s="455"/>
      <c r="S525" s="455"/>
      <c r="T525" s="455"/>
      <c r="U525" s="455"/>
      <c r="V525" s="455"/>
      <c r="W525" s="455"/>
      <c r="X525" s="455"/>
      <c r="Y525" s="455"/>
      <c r="Z525" s="455"/>
      <c r="AA525" s="455"/>
      <c r="AB525" s="455"/>
    </row>
    <row r="526" spans="8:28" s="439" customFormat="1" ht="10.5">
      <c r="H526" s="455"/>
      <c r="I526" s="455"/>
      <c r="J526" s="455"/>
      <c r="K526" s="455"/>
      <c r="L526" s="455"/>
      <c r="M526" s="455"/>
      <c r="N526" s="455"/>
      <c r="O526" s="455"/>
      <c r="P526" s="455"/>
      <c r="Q526" s="455"/>
      <c r="R526" s="455"/>
      <c r="S526" s="455"/>
      <c r="T526" s="455"/>
      <c r="U526" s="455"/>
      <c r="V526" s="455"/>
      <c r="W526" s="455"/>
      <c r="X526" s="455"/>
      <c r="Y526" s="455"/>
      <c r="Z526" s="455"/>
      <c r="AA526" s="455"/>
      <c r="AB526" s="455"/>
    </row>
  </sheetData>
  <mergeCells count="24">
    <mergeCell ref="B35:C35"/>
    <mergeCell ref="B36:C36"/>
    <mergeCell ref="B8:V8"/>
    <mergeCell ref="B12:C12"/>
    <mergeCell ref="B13:V13"/>
    <mergeCell ref="B14:V14"/>
    <mergeCell ref="B32:C32"/>
    <mergeCell ref="B34:C34"/>
    <mergeCell ref="B7:V7"/>
    <mergeCell ref="B1:Y1"/>
    <mergeCell ref="B2:C2"/>
    <mergeCell ref="I2:J2"/>
    <mergeCell ref="B3:B5"/>
    <mergeCell ref="C3:C5"/>
    <mergeCell ref="E3:AB3"/>
    <mergeCell ref="D4:D5"/>
    <mergeCell ref="E4:G4"/>
    <mergeCell ref="H4:J4"/>
    <mergeCell ref="K4:M4"/>
    <mergeCell ref="N4:P4"/>
    <mergeCell ref="Q4:S4"/>
    <mergeCell ref="T4:V4"/>
    <mergeCell ref="W4:Y4"/>
    <mergeCell ref="Z4:AB4"/>
  </mergeCells>
  <printOptions horizontalCentered="1" verticalCentered="1"/>
  <pageMargins left="0" right="0" top="0.15748031496062992" bottom="0.15748031496062992" header="0" footer="0"/>
  <pageSetup paperSize="8" scale="69" orientation="landscape" r:id="rId1"/>
  <headerFooter alignWithMargins="0">
    <oddHeader>&amp;R&amp;8&amp;D, strona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M68" sqref="M68"/>
    </sheetView>
  </sheetViews>
  <sheetFormatPr defaultRowHeight="12.75"/>
  <sheetData/>
  <phoneticPr fontId="6" type="noConversion"/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130" zoomScaleNormal="80" zoomScaleSheetLayoutView="130" workbookViewId="0">
      <selection activeCell="G16" sqref="G16"/>
    </sheetView>
  </sheetViews>
  <sheetFormatPr defaultRowHeight="12.75"/>
  <cols>
    <col min="1" max="1" width="13.42578125" customWidth="1"/>
    <col min="2" max="2" width="41.85546875" customWidth="1"/>
    <col min="3" max="3" width="15.7109375" customWidth="1"/>
    <col min="4" max="4" width="12.140625" customWidth="1"/>
    <col min="5" max="5" width="15.7109375" customWidth="1"/>
    <col min="6" max="6" width="12.42578125" customWidth="1"/>
    <col min="7" max="7" width="15.7109375" customWidth="1"/>
    <col min="8" max="8" width="13" customWidth="1"/>
    <col min="9" max="9" width="15.140625" customWidth="1"/>
    <col min="10" max="10" width="11.28515625" customWidth="1"/>
  </cols>
  <sheetData>
    <row r="1" spans="1:16">
      <c r="A1" s="489"/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89"/>
    </row>
    <row r="3" spans="1:16" ht="21.75" customHeight="1">
      <c r="A3" s="1734" t="s">
        <v>524</v>
      </c>
      <c r="B3" s="1733" t="s">
        <v>523</v>
      </c>
      <c r="C3" s="1733">
        <v>2016</v>
      </c>
      <c r="D3" s="1733"/>
      <c r="E3" s="1733">
        <v>2017</v>
      </c>
      <c r="F3" s="1733"/>
      <c r="G3" s="1733">
        <v>2018</v>
      </c>
      <c r="H3" s="1733"/>
      <c r="I3" s="1733">
        <v>2019</v>
      </c>
      <c r="J3" s="1733"/>
      <c r="K3" s="490"/>
      <c r="L3" s="490"/>
      <c r="M3" s="490"/>
      <c r="N3" s="490"/>
      <c r="O3" s="490"/>
      <c r="P3" s="489"/>
    </row>
    <row r="4" spans="1:16" ht="36.75" customHeight="1">
      <c r="A4" s="1734"/>
      <c r="B4" s="1733"/>
      <c r="C4" s="492" t="s">
        <v>522</v>
      </c>
      <c r="D4" s="496" t="s">
        <v>525</v>
      </c>
      <c r="E4" s="492" t="s">
        <v>522</v>
      </c>
      <c r="F4" s="496" t="s">
        <v>526</v>
      </c>
      <c r="G4" s="492" t="s">
        <v>522</v>
      </c>
      <c r="H4" s="496" t="s">
        <v>525</v>
      </c>
      <c r="I4" s="492" t="s">
        <v>522</v>
      </c>
      <c r="J4" s="496" t="s">
        <v>525</v>
      </c>
      <c r="K4" s="490"/>
      <c r="L4" s="490"/>
      <c r="M4" s="490"/>
      <c r="N4" s="490"/>
      <c r="O4" s="490"/>
      <c r="P4" s="489"/>
    </row>
    <row r="5" spans="1:16" ht="76.5" customHeight="1">
      <c r="A5" s="494">
        <v>100</v>
      </c>
      <c r="B5" s="491" t="s">
        <v>519</v>
      </c>
      <c r="C5" s="823" t="e">
        <f>'T3 WPI 2022-2026'!#REF!</f>
        <v>#REF!</v>
      </c>
      <c r="D5" s="823" t="e">
        <f>C5*80%</f>
        <v>#REF!</v>
      </c>
      <c r="E5" s="824"/>
      <c r="F5" s="824">
        <f>'[6]pożyczki impuls'!$O$4+'[6]pożyczki impuls'!$P$8</f>
        <v>3803286.96</v>
      </c>
      <c r="G5" s="824"/>
      <c r="H5" s="824">
        <f>'[6]pożyczki impuls'!$P$9+'[6]pożyczki impuls'!$P$10+'[6]pożyczki impuls'!$P$11</f>
        <v>1806446.2</v>
      </c>
      <c r="I5" s="823"/>
      <c r="J5" s="823"/>
      <c r="K5" s="495"/>
      <c r="L5" s="495"/>
      <c r="M5" s="490"/>
      <c r="N5" s="490"/>
      <c r="O5" s="490"/>
      <c r="P5" s="489"/>
    </row>
    <row r="6" spans="1:16" ht="50.25" customHeight="1">
      <c r="A6" s="494">
        <v>180</v>
      </c>
      <c r="B6" s="491" t="s">
        <v>520</v>
      </c>
      <c r="C6" s="823">
        <f>184-184</f>
        <v>0</v>
      </c>
      <c r="D6" s="823">
        <v>0</v>
      </c>
      <c r="E6" s="823" t="e">
        <f>'T3 WPI 2022-2026'!#REF!-700</f>
        <v>#REF!</v>
      </c>
      <c r="F6" s="824"/>
      <c r="G6" s="824"/>
      <c r="H6" s="824">
        <f>'[6]pożyczki impuls'!$O$25</f>
        <v>5399998.7999999998</v>
      </c>
      <c r="I6" s="823"/>
      <c r="J6" s="823"/>
      <c r="K6" s="495"/>
      <c r="L6" s="495"/>
      <c r="M6" s="490"/>
      <c r="N6" s="490"/>
      <c r="O6" s="490"/>
      <c r="P6" s="489"/>
    </row>
    <row r="7" spans="1:16" ht="54" customHeight="1">
      <c r="A7" s="494">
        <v>375</v>
      </c>
      <c r="B7" s="491" t="s">
        <v>521</v>
      </c>
      <c r="C7" s="823"/>
      <c r="D7" s="823">
        <v>0</v>
      </c>
      <c r="E7" s="821"/>
      <c r="F7" s="822">
        <f>'[6]pożyczki impuls'!$O$14</f>
        <v>1092734.71</v>
      </c>
      <c r="G7" s="824"/>
      <c r="H7" s="824">
        <f>'[6]pożyczki impuls'!$O$15+'[6]pożyczki impuls'!$O$16+'[6]pożyczki impuls'!$O$27+'[6]pożyczki impuls'!$O$28+'[6]pożyczki impuls'!$O$30</f>
        <v>8476901.2300000004</v>
      </c>
      <c r="I7" s="823"/>
      <c r="J7" s="823"/>
      <c r="K7" s="495"/>
      <c r="L7" s="495"/>
      <c r="M7" s="490"/>
      <c r="N7" s="490"/>
      <c r="O7" s="490"/>
      <c r="P7" s="489"/>
    </row>
    <row r="8" spans="1:16" ht="54" customHeight="1">
      <c r="A8" s="494"/>
      <c r="B8" s="491" t="s">
        <v>599</v>
      </c>
      <c r="C8" s="823"/>
      <c r="D8" s="823"/>
      <c r="E8" s="823"/>
      <c r="F8" s="823"/>
      <c r="G8" s="823"/>
      <c r="H8" s="823"/>
      <c r="I8" s="823"/>
      <c r="J8" s="823">
        <f>2560000*0</f>
        <v>0</v>
      </c>
      <c r="K8" s="495"/>
      <c r="L8" s="495"/>
      <c r="M8" s="490"/>
      <c r="N8" s="490"/>
      <c r="O8" s="490"/>
      <c r="P8" s="489"/>
    </row>
    <row r="9" spans="1:16" ht="17.25" customHeight="1">
      <c r="A9" s="494">
        <f>SUM(A5:A7)</f>
        <v>655</v>
      </c>
      <c r="B9" s="493" t="s">
        <v>398</v>
      </c>
      <c r="C9" s="825" t="e">
        <f>SUM(C5:C8)</f>
        <v>#REF!</v>
      </c>
      <c r="D9" s="825" t="e">
        <f>SUM(D5:D8)</f>
        <v>#REF!</v>
      </c>
      <c r="E9" s="825" t="e">
        <f>SUM(E5:E8)</f>
        <v>#REF!</v>
      </c>
      <c r="F9" s="825">
        <f>SUM(F5:F8)</f>
        <v>4896021.67</v>
      </c>
      <c r="G9" s="823">
        <f t="shared" ref="G9" si="0">SUM(G5:G8)</f>
        <v>0</v>
      </c>
      <c r="H9" s="825">
        <f>SUM(H5:H8)</f>
        <v>15683346.23</v>
      </c>
      <c r="I9" s="825">
        <f>SUM(I5:I8)</f>
        <v>0</v>
      </c>
      <c r="J9" s="825">
        <f>SUM(J5:J8)</f>
        <v>0</v>
      </c>
      <c r="K9" s="495"/>
      <c r="L9" s="495"/>
      <c r="M9" s="490"/>
      <c r="N9" s="490"/>
      <c r="O9" s="490"/>
      <c r="P9" s="489"/>
    </row>
    <row r="10" spans="1:16">
      <c r="A10" s="490"/>
      <c r="B10" s="490"/>
      <c r="C10" s="490"/>
      <c r="D10" s="490"/>
      <c r="E10" s="490"/>
      <c r="F10" s="490"/>
      <c r="G10" s="490"/>
      <c r="H10" s="490"/>
      <c r="I10" s="490"/>
      <c r="J10" s="490"/>
      <c r="K10" s="495"/>
      <c r="L10" s="495"/>
      <c r="M10" s="490"/>
      <c r="N10" s="490"/>
      <c r="O10" s="490"/>
      <c r="P10" s="489"/>
    </row>
    <row r="11" spans="1:16">
      <c r="A11" s="490"/>
      <c r="B11" s="490"/>
      <c r="C11" s="490"/>
      <c r="D11" s="490"/>
      <c r="E11" s="490"/>
      <c r="F11" s="490"/>
      <c r="G11" s="490"/>
      <c r="H11" s="490"/>
      <c r="I11" s="490"/>
      <c r="J11" s="490"/>
      <c r="K11" s="495"/>
      <c r="L11" s="495"/>
      <c r="M11" s="490"/>
      <c r="N11" s="490"/>
      <c r="O11" s="490"/>
      <c r="P11" s="489"/>
    </row>
    <row r="12" spans="1:16">
      <c r="A12" s="490"/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89"/>
    </row>
    <row r="13" spans="1:16">
      <c r="A13" s="490"/>
      <c r="B13" s="490"/>
      <c r="C13" s="490"/>
      <c r="D13" s="490"/>
      <c r="E13" s="495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89"/>
    </row>
    <row r="14" spans="1:16">
      <c r="A14" s="490"/>
      <c r="B14" s="490"/>
      <c r="C14" s="490"/>
      <c r="D14" s="490"/>
      <c r="E14" s="490"/>
      <c r="F14" s="495"/>
      <c r="G14" s="490"/>
      <c r="H14" s="490"/>
      <c r="I14" s="490"/>
      <c r="J14" s="490"/>
      <c r="K14" s="490"/>
      <c r="L14" s="490"/>
      <c r="M14" s="490"/>
      <c r="N14" s="490"/>
      <c r="O14" s="490"/>
      <c r="P14" s="489"/>
    </row>
    <row r="15" spans="1:16">
      <c r="A15" s="490"/>
      <c r="B15" s="490"/>
      <c r="C15" s="490"/>
      <c r="D15" s="490"/>
      <c r="E15" s="490"/>
      <c r="F15" s="495"/>
      <c r="G15" s="490"/>
      <c r="H15" s="490"/>
      <c r="I15" s="490"/>
      <c r="J15" s="490"/>
      <c r="K15" s="490"/>
      <c r="L15" s="490"/>
      <c r="M15" s="490"/>
      <c r="N15" s="490"/>
      <c r="O15" s="490"/>
      <c r="P15" s="489"/>
    </row>
    <row r="16" spans="1:16">
      <c r="A16" s="490"/>
      <c r="B16" s="490"/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89"/>
    </row>
    <row r="17" spans="1:16">
      <c r="A17" s="490"/>
      <c r="B17" s="490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89"/>
    </row>
    <row r="18" spans="1:16">
      <c r="A18" s="490"/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89"/>
    </row>
    <row r="19" spans="1:16">
      <c r="A19" s="490"/>
      <c r="B19" s="490"/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89"/>
    </row>
    <row r="20" spans="1:16">
      <c r="A20" s="490"/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89"/>
    </row>
    <row r="21" spans="1:16">
      <c r="A21" s="490"/>
      <c r="B21" s="490"/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89"/>
    </row>
    <row r="22" spans="1:16">
      <c r="A22" s="490"/>
      <c r="B22" s="490"/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89"/>
    </row>
    <row r="23" spans="1:16">
      <c r="A23" s="490"/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89"/>
    </row>
    <row r="24" spans="1:16">
      <c r="A24" s="490"/>
      <c r="B24" s="490"/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89"/>
    </row>
    <row r="25" spans="1:16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</row>
    <row r="26" spans="1:16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</row>
    <row r="27" spans="1:16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</row>
    <row r="28" spans="1:16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</row>
  </sheetData>
  <mergeCells count="6">
    <mergeCell ref="I3:J3"/>
    <mergeCell ref="A3:A4"/>
    <mergeCell ref="C3:D3"/>
    <mergeCell ref="E3:F3"/>
    <mergeCell ref="G3:H3"/>
    <mergeCell ref="B3:B4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selection activeCell="G6" sqref="G6"/>
    </sheetView>
  </sheetViews>
  <sheetFormatPr defaultRowHeight="12.75"/>
  <cols>
    <col min="5" max="5" width="14.5703125" customWidth="1"/>
  </cols>
  <sheetData>
    <row r="2" spans="2:12">
      <c r="D2" t="s">
        <v>612</v>
      </c>
      <c r="E2" s="500">
        <v>4581983.5</v>
      </c>
      <c r="F2" s="500"/>
      <c r="G2" s="500"/>
      <c r="H2" s="500"/>
      <c r="I2" s="500"/>
      <c r="J2" s="500"/>
      <c r="K2" s="500"/>
      <c r="L2" s="500"/>
    </row>
    <row r="3" spans="2:12">
      <c r="B3" t="s">
        <v>515</v>
      </c>
      <c r="D3" t="s">
        <v>613</v>
      </c>
      <c r="E3" s="500">
        <f>(E2/1.23)</f>
        <v>3725189.84</v>
      </c>
      <c r="F3" s="500"/>
      <c r="G3" s="500"/>
      <c r="H3" s="500"/>
      <c r="I3" s="500"/>
      <c r="J3" s="500"/>
      <c r="K3" s="500"/>
      <c r="L3" s="500"/>
    </row>
    <row r="4" spans="2:12">
      <c r="B4" t="s">
        <v>610</v>
      </c>
      <c r="D4" t="s">
        <v>611</v>
      </c>
      <c r="E4" s="500"/>
      <c r="F4" s="500"/>
      <c r="G4" s="500"/>
      <c r="H4" s="500"/>
      <c r="I4" s="500"/>
      <c r="J4" s="500"/>
      <c r="K4" s="500"/>
      <c r="L4" s="500"/>
    </row>
    <row r="5" spans="2:12">
      <c r="B5">
        <v>615</v>
      </c>
      <c r="C5" s="500">
        <f>B5/$B$7*100</f>
        <v>38.92</v>
      </c>
      <c r="E5" s="500">
        <f>E3*C5%</f>
        <v>1449843.89</v>
      </c>
      <c r="F5" s="722" t="s">
        <v>188</v>
      </c>
      <c r="G5" s="500">
        <f>E5/1000</f>
        <v>1449.84</v>
      </c>
      <c r="H5" s="722" t="s">
        <v>614</v>
      </c>
      <c r="I5" s="500">
        <v>1450</v>
      </c>
      <c r="J5" s="500"/>
      <c r="K5" s="500"/>
      <c r="L5" s="500"/>
    </row>
    <row r="6" spans="2:12">
      <c r="B6">
        <v>965</v>
      </c>
      <c r="C6" s="500">
        <f>B6/$B$7*100</f>
        <v>61.08</v>
      </c>
      <c r="E6" s="500">
        <f>E3*C6%</f>
        <v>2275345.9500000002</v>
      </c>
      <c r="F6" s="722" t="s">
        <v>188</v>
      </c>
      <c r="G6" s="500">
        <f>E6/1000</f>
        <v>2275.35</v>
      </c>
      <c r="H6" s="722" t="s">
        <v>614</v>
      </c>
      <c r="I6" s="500">
        <v>2276</v>
      </c>
      <c r="J6" s="500"/>
      <c r="K6" s="500"/>
      <c r="L6" s="500"/>
    </row>
    <row r="7" spans="2:12">
      <c r="B7" s="380">
        <f>B5+B6</f>
        <v>1580</v>
      </c>
      <c r="C7" s="380">
        <f>C5+C6</f>
        <v>100</v>
      </c>
      <c r="E7" s="721">
        <f>E5+E6</f>
        <v>3725189.84</v>
      </c>
      <c r="F7" s="500"/>
      <c r="G7" s="721">
        <f>G5+G6</f>
        <v>3725.19</v>
      </c>
      <c r="H7" s="500"/>
      <c r="I7" s="721">
        <f>I5+I6</f>
        <v>3726</v>
      </c>
      <c r="J7" s="500"/>
      <c r="K7" s="500"/>
      <c r="L7" s="500"/>
    </row>
    <row r="8" spans="2:12">
      <c r="E8" s="500"/>
      <c r="F8" s="500"/>
      <c r="G8" s="500"/>
      <c r="H8" s="500"/>
      <c r="I8" s="500"/>
      <c r="J8" s="500"/>
      <c r="K8" s="500"/>
      <c r="L8" s="500"/>
    </row>
    <row r="9" spans="2:12">
      <c r="E9" s="500"/>
      <c r="F9" s="500"/>
      <c r="G9" s="500"/>
      <c r="H9" s="500"/>
      <c r="I9" s="500"/>
      <c r="J9" s="500"/>
      <c r="K9" s="500"/>
      <c r="L9" s="500"/>
    </row>
    <row r="10" spans="2:12">
      <c r="E10" s="500"/>
      <c r="F10" s="500"/>
      <c r="G10" s="500"/>
      <c r="H10" s="500"/>
      <c r="I10" s="500"/>
      <c r="J10" s="500"/>
      <c r="K10" s="500"/>
      <c r="L10" s="500"/>
    </row>
    <row r="11" spans="2:12">
      <c r="E11" s="500"/>
      <c r="F11" s="500"/>
      <c r="G11" s="500"/>
      <c r="H11" s="500"/>
      <c r="I11" s="500"/>
      <c r="J11" s="500"/>
      <c r="K11" s="500"/>
      <c r="L11" s="500"/>
    </row>
    <row r="12" spans="2:12">
      <c r="E12" s="500"/>
      <c r="F12" s="500"/>
      <c r="G12" s="500"/>
      <c r="H12" s="500"/>
      <c r="I12" s="500"/>
      <c r="J12" s="500"/>
      <c r="K12" s="500"/>
      <c r="L12" s="500"/>
    </row>
    <row r="13" spans="2:12">
      <c r="E13" s="500"/>
      <c r="F13" s="500"/>
      <c r="G13" s="500"/>
      <c r="H13" s="500"/>
      <c r="I13" s="500"/>
      <c r="J13" s="500"/>
      <c r="K13" s="500"/>
      <c r="L13" s="500"/>
    </row>
    <row r="14" spans="2:12">
      <c r="E14" s="500"/>
      <c r="F14" s="500"/>
      <c r="G14" s="500"/>
      <c r="H14" s="500"/>
      <c r="I14" s="500"/>
      <c r="J14" s="500"/>
      <c r="K14" s="500"/>
      <c r="L14" s="500"/>
    </row>
    <row r="15" spans="2:12">
      <c r="E15" s="500"/>
      <c r="F15" s="500"/>
      <c r="G15" s="500"/>
      <c r="H15" s="500"/>
      <c r="I15" s="500"/>
      <c r="J15" s="500"/>
      <c r="K15" s="500"/>
      <c r="L15" s="500"/>
    </row>
    <row r="16" spans="2:12">
      <c r="E16" s="500"/>
      <c r="F16" s="500"/>
      <c r="G16" s="500"/>
      <c r="H16" s="500"/>
      <c r="I16" s="500"/>
      <c r="J16" s="500"/>
      <c r="K16" s="500"/>
      <c r="L16" s="500"/>
    </row>
    <row r="17" spans="5:12">
      <c r="E17" s="500"/>
      <c r="F17" s="500"/>
      <c r="G17" s="500"/>
      <c r="H17" s="500"/>
      <c r="I17" s="500"/>
      <c r="J17" s="500"/>
      <c r="K17" s="500"/>
      <c r="L17" s="500"/>
    </row>
    <row r="18" spans="5:12">
      <c r="E18" s="500"/>
      <c r="F18" s="500"/>
      <c r="G18" s="500"/>
      <c r="H18" s="500"/>
      <c r="I18" s="500"/>
      <c r="J18" s="500"/>
      <c r="K18" s="500"/>
      <c r="L18" s="500"/>
    </row>
    <row r="19" spans="5:12">
      <c r="E19" s="500"/>
      <c r="F19" s="500"/>
      <c r="G19" s="500"/>
      <c r="H19" s="500"/>
      <c r="I19" s="500"/>
      <c r="J19" s="500"/>
      <c r="K19" s="500"/>
      <c r="L19" s="500"/>
    </row>
    <row r="20" spans="5:12">
      <c r="E20" s="500"/>
      <c r="F20" s="500"/>
      <c r="G20" s="500"/>
      <c r="H20" s="500"/>
      <c r="I20" s="500"/>
      <c r="J20" s="500"/>
      <c r="K20" s="500"/>
      <c r="L20" s="500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6" workbookViewId="0">
      <selection activeCell="G6" sqref="G6"/>
    </sheetView>
  </sheetViews>
  <sheetFormatPr defaultRowHeight="12.7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workbookViewId="0">
      <selection activeCell="O21" sqref="O21"/>
    </sheetView>
  </sheetViews>
  <sheetFormatPr defaultRowHeight="12.75"/>
  <cols>
    <col min="1" max="1" width="3.5703125" customWidth="1"/>
    <col min="2" max="2" width="20" style="817" customWidth="1"/>
    <col min="3" max="3" width="24.85546875" style="500" customWidth="1"/>
    <col min="5" max="5" width="16.7109375" style="817" customWidth="1"/>
  </cols>
  <sheetData>
    <row r="1" spans="2:15" ht="22.5" customHeight="1">
      <c r="B1" s="722" t="s">
        <v>664</v>
      </c>
      <c r="C1" s="722" t="s">
        <v>665</v>
      </c>
    </row>
    <row r="2" spans="2:15">
      <c r="B2" s="817">
        <v>195000</v>
      </c>
      <c r="C2" s="500">
        <v>25000</v>
      </c>
      <c r="E2" s="817">
        <v>3384696</v>
      </c>
      <c r="G2" s="818">
        <v>12088.2</v>
      </c>
      <c r="I2" s="819">
        <f>5276.8-I3</f>
        <v>4970.5</v>
      </c>
      <c r="J2" s="819">
        <v>5305.5</v>
      </c>
      <c r="K2" s="819">
        <v>913.5</v>
      </c>
      <c r="L2" s="819">
        <v>898.7</v>
      </c>
      <c r="M2" s="721">
        <f>SUM(I2:L2)</f>
        <v>12088.2</v>
      </c>
      <c r="O2" s="500">
        <f>M2-G2</f>
        <v>0</v>
      </c>
    </row>
    <row r="3" spans="2:15">
      <c r="B3" s="817">
        <v>68000</v>
      </c>
      <c r="C3" s="500">
        <v>136000</v>
      </c>
      <c r="E3" s="817">
        <v>245040</v>
      </c>
      <c r="G3" s="818">
        <v>306.3</v>
      </c>
      <c r="H3" t="s">
        <v>666</v>
      </c>
      <c r="I3">
        <v>306.3</v>
      </c>
    </row>
    <row r="4" spans="2:15">
      <c r="B4" s="817">
        <v>20000</v>
      </c>
      <c r="C4" s="500">
        <v>7500</v>
      </c>
      <c r="E4" s="817">
        <v>77120</v>
      </c>
      <c r="G4" s="721">
        <f>G2+G3</f>
        <v>12394.5</v>
      </c>
    </row>
    <row r="5" spans="2:15">
      <c r="B5" s="817">
        <v>38000</v>
      </c>
      <c r="C5" s="500">
        <v>8540</v>
      </c>
      <c r="E5" s="817">
        <v>58500</v>
      </c>
      <c r="G5" s="500"/>
    </row>
    <row r="6" spans="2:15">
      <c r="B6" s="817">
        <v>8500</v>
      </c>
      <c r="C6" s="500">
        <v>14200</v>
      </c>
      <c r="E6" s="817">
        <v>3800</v>
      </c>
      <c r="G6" s="500"/>
    </row>
    <row r="7" spans="2:15">
      <c r="B7" s="817">
        <v>700000</v>
      </c>
      <c r="C7" s="500">
        <v>396000</v>
      </c>
      <c r="E7" s="817">
        <v>48000</v>
      </c>
      <c r="G7" s="500"/>
    </row>
    <row r="8" spans="2:15">
      <c r="B8" s="817">
        <v>6630</v>
      </c>
      <c r="C8" s="500">
        <v>11210</v>
      </c>
      <c r="E8" s="817">
        <v>23400</v>
      </c>
      <c r="G8" s="500"/>
    </row>
    <row r="9" spans="2:15">
      <c r="B9" s="817">
        <v>14820</v>
      </c>
      <c r="C9" s="500">
        <v>32760</v>
      </c>
      <c r="E9" s="817">
        <v>19200</v>
      </c>
      <c r="G9" s="500"/>
    </row>
    <row r="10" spans="2:15">
      <c r="B10" s="817">
        <v>24700</v>
      </c>
      <c r="C10" s="500">
        <v>1680</v>
      </c>
      <c r="E10" s="817">
        <v>53900</v>
      </c>
      <c r="G10" s="500"/>
    </row>
    <row r="11" spans="2:15">
      <c r="B11" s="817">
        <v>8925</v>
      </c>
      <c r="C11" s="500">
        <v>13500</v>
      </c>
      <c r="E11" s="722">
        <f>SUM(E2:E10)</f>
        <v>3913656</v>
      </c>
      <c r="G11" s="500"/>
    </row>
    <row r="12" spans="2:15">
      <c r="B12" s="817">
        <v>1277.5</v>
      </c>
      <c r="C12" s="500">
        <v>38000</v>
      </c>
      <c r="G12" s="500"/>
    </row>
    <row r="13" spans="2:15">
      <c r="B13" s="817">
        <v>140000</v>
      </c>
      <c r="C13" s="500">
        <v>105000</v>
      </c>
      <c r="G13" s="500"/>
    </row>
    <row r="14" spans="2:15">
      <c r="B14" s="817">
        <v>109600</v>
      </c>
      <c r="C14" s="500">
        <v>120000</v>
      </c>
      <c r="E14" s="722" t="s">
        <v>357</v>
      </c>
      <c r="G14" s="500"/>
    </row>
    <row r="15" spans="2:15">
      <c r="B15" s="817">
        <v>75000</v>
      </c>
      <c r="C15" s="500">
        <v>12500</v>
      </c>
      <c r="E15" s="722">
        <f>E11+C17+B21</f>
        <v>6749998.5</v>
      </c>
      <c r="G15" s="500"/>
    </row>
    <row r="16" spans="2:15">
      <c r="B16" s="817">
        <v>30000</v>
      </c>
      <c r="C16" s="500">
        <v>160000</v>
      </c>
      <c r="G16" s="500"/>
    </row>
    <row r="17" spans="2:7">
      <c r="B17" s="817">
        <v>42000</v>
      </c>
      <c r="C17" s="721">
        <f>SUM(C2:C16)</f>
        <v>1081890</v>
      </c>
      <c r="G17" s="500"/>
    </row>
    <row r="18" spans="2:7">
      <c r="B18" s="817">
        <v>104000</v>
      </c>
      <c r="E18" s="817">
        <v>1746271</v>
      </c>
      <c r="G18" s="500"/>
    </row>
    <row r="19" spans="2:7">
      <c r="B19" s="817">
        <v>8000</v>
      </c>
      <c r="E19" s="817">
        <v>1659443</v>
      </c>
    </row>
    <row r="20" spans="2:7">
      <c r="B20" s="817">
        <v>160000</v>
      </c>
      <c r="E20" s="817">
        <v>285722</v>
      </c>
    </row>
    <row r="21" spans="2:7">
      <c r="B21" s="722">
        <f>SUM(B2:B20)</f>
        <v>1754452.5</v>
      </c>
      <c r="E21" s="817">
        <v>219890</v>
      </c>
    </row>
    <row r="22" spans="2:7">
      <c r="E22" s="722">
        <f>SUM(E18:E21)</f>
        <v>3911326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BE51"/>
  <sheetViews>
    <sheetView showZeros="0" view="pageBreakPreview" topLeftCell="A2" zoomScaleNormal="115" zoomScaleSheetLayoutView="100" workbookViewId="0">
      <pane xSplit="3" ySplit="8" topLeftCell="D24" activePane="bottomRight" state="frozen"/>
      <selection activeCell="AB33" sqref="AB33"/>
      <selection pane="topRight" activeCell="AB33" sqref="AB33"/>
      <selection pane="bottomLeft" activeCell="AB33" sqref="AB33"/>
      <selection pane="bottomRight" activeCell="B13" sqref="B13"/>
    </sheetView>
  </sheetViews>
  <sheetFormatPr defaultColWidth="9.140625" defaultRowHeight="15" outlineLevelRow="1" outlineLevelCol="1"/>
  <cols>
    <col min="1" max="1" width="5.140625" style="719" customWidth="1"/>
    <col min="2" max="2" width="88.7109375" style="719" customWidth="1"/>
    <col min="3" max="3" width="10.28515625" style="719" hidden="1" customWidth="1" outlineLevel="1"/>
    <col min="4" max="4" width="11.28515625" style="734" customWidth="1" collapsed="1"/>
    <col min="5" max="5" width="6.7109375" style="719" hidden="1" customWidth="1" outlineLevel="1"/>
    <col min="6" max="6" width="6.5703125" style="719" hidden="1" customWidth="1" outlineLevel="1"/>
    <col min="7" max="7" width="6.85546875" style="719" hidden="1" customWidth="1" outlineLevel="1"/>
    <col min="8" max="8" width="6.7109375" style="719" hidden="1" customWidth="1" outlineLevel="1"/>
    <col min="9" max="9" width="7.5703125" style="719" hidden="1" customWidth="1" outlineLevel="1"/>
    <col min="10" max="10" width="5.28515625" style="719" hidden="1" customWidth="1" outlineLevel="1"/>
    <col min="11" max="11" width="6" style="719" customWidth="1" collapsed="1"/>
    <col min="12" max="12" width="6" style="719" customWidth="1"/>
    <col min="13" max="18" width="5.28515625" style="719" customWidth="1"/>
    <col min="19" max="19" width="5.140625" style="719" customWidth="1"/>
    <col min="20" max="25" width="5.28515625" style="719" customWidth="1"/>
    <col min="26" max="26" width="9.7109375" style="734" customWidth="1"/>
    <col min="27" max="30" width="9.140625" style="1038"/>
    <col min="31" max="31" width="12.85546875" style="1038" customWidth="1"/>
    <col min="32" max="33" width="9.140625" style="1038"/>
    <col min="34" max="36" width="10.140625" style="1038" bestFit="1" customWidth="1"/>
    <col min="37" max="38" width="9.140625" style="1038"/>
    <col min="39" max="39" width="9.140625" style="1042"/>
    <col min="40" max="47" width="9.140625" style="1039"/>
    <col min="48" max="16384" width="9.140625" style="719"/>
  </cols>
  <sheetData>
    <row r="1" spans="1:57" hidden="1"/>
    <row r="2" spans="1:57" ht="21" customHeight="1">
      <c r="A2" s="1520" t="s">
        <v>847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  <c r="N2" s="1520"/>
      <c r="O2" s="1520"/>
      <c r="P2" s="1520"/>
      <c r="Q2" s="1106"/>
      <c r="R2" s="1106"/>
      <c r="S2" s="1106"/>
      <c r="T2" s="1106"/>
      <c r="U2" s="1106"/>
      <c r="V2" s="1106"/>
      <c r="W2" s="1120"/>
      <c r="X2" s="1120"/>
      <c r="Y2" s="1120"/>
      <c r="Z2" s="1106"/>
    </row>
    <row r="3" spans="1:57" ht="5.25" customHeight="1">
      <c r="A3" s="1521" t="s">
        <v>651</v>
      </c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107"/>
      <c r="R3" s="1107"/>
      <c r="S3" s="1107"/>
      <c r="T3" s="1107"/>
      <c r="U3" s="1107"/>
      <c r="V3" s="1107"/>
      <c r="W3" s="1121"/>
      <c r="X3" s="1121"/>
      <c r="Y3" s="1121"/>
      <c r="Z3" s="1107"/>
    </row>
    <row r="4" spans="1:57" ht="19.5" customHeight="1">
      <c r="A4" s="1521"/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107"/>
      <c r="R4" s="1107"/>
      <c r="S4" s="1107"/>
      <c r="T4" s="1107"/>
      <c r="U4" s="1107"/>
      <c r="V4" s="1107"/>
      <c r="W4" s="1121"/>
      <c r="X4" s="1121"/>
      <c r="Y4" s="1121"/>
      <c r="Z4" s="1107"/>
    </row>
    <row r="5" spans="1:57" ht="15.75" hidden="1" customHeight="1">
      <c r="A5" s="1506"/>
      <c r="B5" s="1506"/>
      <c r="C5" s="1506"/>
      <c r="D5" s="1506"/>
      <c r="E5" s="1506"/>
      <c r="F5" s="1506"/>
      <c r="G5" s="1506"/>
      <c r="H5" s="1506"/>
      <c r="I5" s="1506"/>
      <c r="J5" s="1506"/>
      <c r="K5" s="1506"/>
      <c r="L5" s="1506"/>
      <c r="M5" s="1506"/>
      <c r="N5" s="1506"/>
      <c r="O5" s="1506"/>
      <c r="P5" s="1506"/>
      <c r="Q5" s="1506"/>
      <c r="R5" s="1506"/>
      <c r="S5" s="1506"/>
      <c r="T5" s="1506"/>
      <c r="U5" s="1506"/>
      <c r="V5" s="1506"/>
      <c r="W5" s="1506"/>
      <c r="X5" s="1506"/>
      <c r="Y5" s="1506"/>
      <c r="Z5" s="1506"/>
    </row>
    <row r="6" spans="1:57" ht="14.25">
      <c r="A6" s="1531" t="s">
        <v>14</v>
      </c>
      <c r="B6" s="1531" t="s">
        <v>142</v>
      </c>
      <c r="C6" s="854"/>
      <c r="D6" s="1524" t="s">
        <v>112</v>
      </c>
      <c r="E6" s="1525"/>
      <c r="F6" s="1525"/>
      <c r="G6" s="1525"/>
      <c r="H6" s="1525"/>
      <c r="I6" s="1525"/>
      <c r="J6" s="1525"/>
      <c r="K6" s="1525"/>
      <c r="L6" s="1525"/>
      <c r="M6" s="1525"/>
      <c r="N6" s="1525"/>
      <c r="O6" s="1525"/>
      <c r="P6" s="1525"/>
      <c r="Q6" s="1525"/>
      <c r="R6" s="1525"/>
      <c r="S6" s="1525"/>
      <c r="T6" s="1525"/>
      <c r="U6" s="1525"/>
      <c r="V6" s="1525"/>
      <c r="W6" s="1525"/>
      <c r="X6" s="1525"/>
      <c r="Y6" s="1525"/>
      <c r="Z6" s="1526"/>
      <c r="AA6" s="1182"/>
      <c r="AB6" s="1182"/>
      <c r="AC6" s="1182"/>
      <c r="AD6" s="1182"/>
      <c r="AE6" s="1182"/>
    </row>
    <row r="7" spans="1:57" ht="15.75" customHeight="1">
      <c r="A7" s="1532"/>
      <c r="B7" s="1532"/>
      <c r="C7" s="1522" t="s">
        <v>850</v>
      </c>
      <c r="D7" s="1522" t="s">
        <v>692</v>
      </c>
      <c r="E7" s="1534">
        <v>2020</v>
      </c>
      <c r="F7" s="1535"/>
      <c r="G7" s="1536"/>
      <c r="H7" s="1534">
        <v>2021</v>
      </c>
      <c r="I7" s="1535"/>
      <c r="J7" s="1536"/>
      <c r="K7" s="1534">
        <v>2022</v>
      </c>
      <c r="L7" s="1535"/>
      <c r="M7" s="1536"/>
      <c r="N7" s="1534">
        <v>2023</v>
      </c>
      <c r="O7" s="1535"/>
      <c r="P7" s="1536"/>
      <c r="Q7" s="1527">
        <v>2024</v>
      </c>
      <c r="R7" s="1528"/>
      <c r="S7" s="1529"/>
      <c r="T7" s="1527">
        <v>2025</v>
      </c>
      <c r="U7" s="1528"/>
      <c r="V7" s="1529"/>
      <c r="W7" s="1527">
        <v>2026</v>
      </c>
      <c r="X7" s="1528"/>
      <c r="Y7" s="1529"/>
      <c r="Z7" s="1522" t="s">
        <v>850</v>
      </c>
      <c r="AA7" s="1182"/>
      <c r="AB7" s="1182"/>
      <c r="AC7" s="1182"/>
      <c r="AD7" s="1182"/>
      <c r="AE7" s="1182"/>
    </row>
    <row r="8" spans="1:57" ht="35.25" customHeight="1">
      <c r="A8" s="1533"/>
      <c r="B8" s="1533"/>
      <c r="C8" s="1523"/>
      <c r="D8" s="1523"/>
      <c r="E8" s="735" t="s">
        <v>398</v>
      </c>
      <c r="F8" s="735" t="s">
        <v>399</v>
      </c>
      <c r="G8" s="735" t="s">
        <v>547</v>
      </c>
      <c r="H8" s="735" t="s">
        <v>398</v>
      </c>
      <c r="I8" s="735" t="s">
        <v>399</v>
      </c>
      <c r="J8" s="735" t="s">
        <v>547</v>
      </c>
      <c r="K8" s="735" t="s">
        <v>398</v>
      </c>
      <c r="L8" s="735" t="s">
        <v>399</v>
      </c>
      <c r="M8" s="735" t="s">
        <v>547</v>
      </c>
      <c r="N8" s="735" t="s">
        <v>398</v>
      </c>
      <c r="O8" s="735" t="s">
        <v>399</v>
      </c>
      <c r="P8" s="735" t="s">
        <v>547</v>
      </c>
      <c r="Q8" s="735" t="s">
        <v>398</v>
      </c>
      <c r="R8" s="735" t="s">
        <v>399</v>
      </c>
      <c r="S8" s="735" t="s">
        <v>547</v>
      </c>
      <c r="T8" s="735" t="s">
        <v>398</v>
      </c>
      <c r="U8" s="735" t="s">
        <v>399</v>
      </c>
      <c r="V8" s="735" t="s">
        <v>547</v>
      </c>
      <c r="W8" s="735" t="s">
        <v>398</v>
      </c>
      <c r="X8" s="735" t="s">
        <v>399</v>
      </c>
      <c r="Y8" s="735" t="s">
        <v>547</v>
      </c>
      <c r="Z8" s="1523"/>
      <c r="AA8" s="1182"/>
      <c r="AB8" s="1182"/>
      <c r="AC8" s="1182"/>
      <c r="AD8" s="1182"/>
      <c r="AE8" s="1182"/>
    </row>
    <row r="9" spans="1:57" ht="13.5" customHeight="1">
      <c r="A9" s="668">
        <v>1</v>
      </c>
      <c r="B9" s="668">
        <v>2</v>
      </c>
      <c r="C9" s="668">
        <v>3</v>
      </c>
      <c r="D9" s="668">
        <v>3</v>
      </c>
      <c r="E9" s="668">
        <v>4</v>
      </c>
      <c r="F9" s="668">
        <v>5</v>
      </c>
      <c r="G9" s="668">
        <v>6</v>
      </c>
      <c r="H9" s="668">
        <v>4</v>
      </c>
      <c r="I9" s="668">
        <v>5</v>
      </c>
      <c r="J9" s="668">
        <v>6</v>
      </c>
      <c r="K9" s="668">
        <v>7</v>
      </c>
      <c r="L9" s="668">
        <v>8</v>
      </c>
      <c r="M9" s="668">
        <v>9</v>
      </c>
      <c r="N9" s="668">
        <v>10</v>
      </c>
      <c r="O9" s="668">
        <v>11</v>
      </c>
      <c r="P9" s="668">
        <v>12</v>
      </c>
      <c r="Q9" s="668">
        <v>13</v>
      </c>
      <c r="R9" s="668">
        <v>14</v>
      </c>
      <c r="S9" s="668">
        <v>15</v>
      </c>
      <c r="T9" s="668">
        <v>16</v>
      </c>
      <c r="U9" s="668">
        <v>17</v>
      </c>
      <c r="V9" s="668">
        <v>18</v>
      </c>
      <c r="W9" s="668">
        <v>19</v>
      </c>
      <c r="X9" s="668">
        <v>20</v>
      </c>
      <c r="Y9" s="668">
        <v>21</v>
      </c>
      <c r="Z9" s="668">
        <v>22</v>
      </c>
      <c r="AA9" s="1172" t="s">
        <v>803</v>
      </c>
      <c r="AB9" s="1172" t="s">
        <v>804</v>
      </c>
      <c r="AC9" s="977" t="s">
        <v>802</v>
      </c>
      <c r="AD9" s="977" t="s">
        <v>806</v>
      </c>
      <c r="AE9" s="1183" t="s">
        <v>807</v>
      </c>
    </row>
    <row r="10" spans="1:57" ht="27.75" customHeight="1">
      <c r="A10" s="668">
        <v>1</v>
      </c>
      <c r="B10" s="659" t="s">
        <v>696</v>
      </c>
      <c r="C10" s="657">
        <f>K10+N10+Q10+T10+W10</f>
        <v>420</v>
      </c>
      <c r="D10" s="658">
        <v>5936</v>
      </c>
      <c r="E10" s="658">
        <f>F10+G10</f>
        <v>50</v>
      </c>
      <c r="F10" s="658">
        <f>50</f>
        <v>50</v>
      </c>
      <c r="G10" s="658">
        <f>700*0</f>
        <v>0</v>
      </c>
      <c r="H10" s="658">
        <v>4310</v>
      </c>
      <c r="I10" s="658">
        <v>1410</v>
      </c>
      <c r="J10" s="658">
        <v>2900</v>
      </c>
      <c r="K10" s="658">
        <f>M10+L10</f>
        <v>420</v>
      </c>
      <c r="L10" s="658">
        <v>80</v>
      </c>
      <c r="M10" s="658">
        <v>340</v>
      </c>
      <c r="N10" s="658">
        <f>O10+P10</f>
        <v>0</v>
      </c>
      <c r="O10" s="658"/>
      <c r="P10" s="658"/>
      <c r="Q10" s="658">
        <f t="shared" ref="Q10:Q20" si="0">R10+S10</f>
        <v>0</v>
      </c>
      <c r="R10" s="658"/>
      <c r="S10" s="658"/>
      <c r="T10" s="658">
        <f>U10+V10</f>
        <v>0</v>
      </c>
      <c r="U10" s="658"/>
      <c r="V10" s="658"/>
      <c r="W10" s="658"/>
      <c r="X10" s="658"/>
      <c r="Y10" s="658"/>
      <c r="Z10" s="657">
        <f t="shared" ref="Z10:Z33" si="1">C10</f>
        <v>420</v>
      </c>
      <c r="AA10" s="1182">
        <v>5120</v>
      </c>
      <c r="AB10" s="1182">
        <v>5000</v>
      </c>
      <c r="AC10" s="1182">
        <v>900</v>
      </c>
      <c r="AD10" s="1182"/>
      <c r="AE10" s="1182">
        <f>AA10-AB10-AC10</f>
        <v>-780</v>
      </c>
    </row>
    <row r="11" spans="1:57" ht="20.100000000000001" hidden="1" customHeight="1" outlineLevel="1">
      <c r="A11" s="668">
        <v>0</v>
      </c>
      <c r="B11" s="659"/>
      <c r="C11" s="657">
        <f t="shared" ref="C11:C33" si="2">K11+N11+Q11+T11+W11</f>
        <v>0</v>
      </c>
      <c r="D11" s="658"/>
      <c r="E11" s="658">
        <f t="shared" ref="E11:E12" si="3">F11+G11</f>
        <v>2200</v>
      </c>
      <c r="F11" s="658">
        <f>3200-50-950</f>
        <v>2200</v>
      </c>
      <c r="G11" s="658"/>
      <c r="H11" s="658">
        <f t="shared" ref="H11:H12" si="4">I11+J11</f>
        <v>0</v>
      </c>
      <c r="I11" s="658"/>
      <c r="J11" s="658"/>
      <c r="K11" s="658">
        <f t="shared" ref="K11" si="5">M11+L11</f>
        <v>0</v>
      </c>
      <c r="L11" s="658"/>
      <c r="M11" s="658"/>
      <c r="N11" s="658">
        <f>O11+P11</f>
        <v>0</v>
      </c>
      <c r="O11" s="658"/>
      <c r="P11" s="658"/>
      <c r="Q11" s="658">
        <f t="shared" si="0"/>
        <v>0</v>
      </c>
      <c r="R11" s="658"/>
      <c r="S11" s="658"/>
      <c r="T11" s="658">
        <f t="shared" ref="T11:T34" si="6">U11+V11</f>
        <v>0</v>
      </c>
      <c r="U11" s="658"/>
      <c r="V11" s="658"/>
      <c r="W11" s="658"/>
      <c r="X11" s="658"/>
      <c r="Y11" s="658"/>
      <c r="Z11" s="657">
        <f t="shared" si="1"/>
        <v>0</v>
      </c>
      <c r="AA11" s="1182"/>
      <c r="AB11" s="1182"/>
      <c r="AC11" s="1182"/>
      <c r="AD11" s="1182">
        <f t="shared" ref="AD11:AD33" si="7">AA11-AB11-AC11</f>
        <v>0</v>
      </c>
      <c r="AE11" s="1182">
        <f t="shared" ref="AE11:AE32" si="8">AA11-AB11-AC11</f>
        <v>0</v>
      </c>
    </row>
    <row r="12" spans="1:57" ht="20.100000000000001" customHeight="1" collapsed="1">
      <c r="A12" s="668">
        <v>2</v>
      </c>
      <c r="B12" s="659" t="s">
        <v>691</v>
      </c>
      <c r="C12" s="657">
        <f t="shared" si="2"/>
        <v>1150</v>
      </c>
      <c r="D12" s="658">
        <v>3101</v>
      </c>
      <c r="E12" s="658">
        <f t="shared" si="3"/>
        <v>150</v>
      </c>
      <c r="F12" s="658">
        <v>150</v>
      </c>
      <c r="G12" s="658"/>
      <c r="H12" s="658">
        <f t="shared" si="4"/>
        <v>2400</v>
      </c>
      <c r="I12" s="658">
        <v>2400</v>
      </c>
      <c r="J12" s="658"/>
      <c r="K12" s="658">
        <f>M12+L12</f>
        <v>1150</v>
      </c>
      <c r="L12" s="658">
        <v>1150</v>
      </c>
      <c r="M12" s="658"/>
      <c r="N12" s="658"/>
      <c r="O12" s="658"/>
      <c r="P12" s="658"/>
      <c r="Q12" s="658">
        <f t="shared" si="0"/>
        <v>0</v>
      </c>
      <c r="R12" s="658"/>
      <c r="S12" s="658"/>
      <c r="T12" s="658">
        <f t="shared" si="6"/>
        <v>0</v>
      </c>
      <c r="U12" s="658"/>
      <c r="V12" s="658"/>
      <c r="W12" s="658"/>
      <c r="X12" s="658"/>
      <c r="Y12" s="658"/>
      <c r="Z12" s="657">
        <f t="shared" si="1"/>
        <v>1150</v>
      </c>
      <c r="AA12" s="1182">
        <v>3500</v>
      </c>
      <c r="AB12" s="1182">
        <v>3500</v>
      </c>
      <c r="AC12" s="1182">
        <v>0</v>
      </c>
      <c r="AD12" s="1182">
        <f t="shared" si="7"/>
        <v>0</v>
      </c>
      <c r="AE12" s="1182">
        <f t="shared" si="8"/>
        <v>0</v>
      </c>
    </row>
    <row r="13" spans="1:57" s="734" customFormat="1" ht="20.100000000000001" customHeight="1">
      <c r="A13" s="393">
        <v>3</v>
      </c>
      <c r="B13" s="1014" t="s">
        <v>648</v>
      </c>
      <c r="C13" s="657">
        <f t="shared" si="2"/>
        <v>16640</v>
      </c>
      <c r="D13" s="658">
        <f>D19+D32</f>
        <v>1352</v>
      </c>
      <c r="E13" s="657">
        <f>F13+G13</f>
        <v>1650</v>
      </c>
      <c r="F13" s="657">
        <f>SUM(F16:F32)</f>
        <v>1650</v>
      </c>
      <c r="G13" s="657">
        <f>SUM(G16:G32)</f>
        <v>0</v>
      </c>
      <c r="H13" s="657">
        <f>I13+J13</f>
        <v>2000</v>
      </c>
      <c r="I13" s="657">
        <f>SUM(I14:I32)</f>
        <v>2000</v>
      </c>
      <c r="J13" s="657">
        <f>SUM(J16:J32)</f>
        <v>0</v>
      </c>
      <c r="K13" s="657">
        <f>L13+M13</f>
        <v>5840</v>
      </c>
      <c r="L13" s="657">
        <f>SUM(L14:L32)</f>
        <v>5840</v>
      </c>
      <c r="M13" s="657">
        <f>SUM(M16:M32)</f>
        <v>0</v>
      </c>
      <c r="N13" s="657">
        <f t="shared" ref="N13:N16" si="9">O13+P13</f>
        <v>3600</v>
      </c>
      <c r="O13" s="657">
        <f>SUM(O14:O32)</f>
        <v>3600</v>
      </c>
      <c r="P13" s="657">
        <f>SUM(P16:P32)</f>
        <v>0</v>
      </c>
      <c r="Q13" s="657">
        <f t="shared" si="0"/>
        <v>2890</v>
      </c>
      <c r="R13" s="657">
        <f>SUM(R14:R32)</f>
        <v>2890</v>
      </c>
      <c r="S13" s="657">
        <f>SUM(S16:S32)</f>
        <v>0</v>
      </c>
      <c r="T13" s="657">
        <f t="shared" si="6"/>
        <v>2200</v>
      </c>
      <c r="U13" s="657">
        <f>SUM(U14:U32)</f>
        <v>2200</v>
      </c>
      <c r="V13" s="657">
        <f>SUM(V16:V32)</f>
        <v>0</v>
      </c>
      <c r="W13" s="657">
        <f>X13+Y13</f>
        <v>2110</v>
      </c>
      <c r="X13" s="657">
        <f>SUM(X14:X32)</f>
        <v>2110</v>
      </c>
      <c r="Y13" s="657">
        <f>SUM(Y14:Y32)</f>
        <v>0</v>
      </c>
      <c r="Z13" s="657">
        <f t="shared" si="1"/>
        <v>16640</v>
      </c>
      <c r="AA13" s="1184"/>
      <c r="AB13" s="1184"/>
      <c r="AC13" s="1184"/>
      <c r="AD13" s="1182">
        <f t="shared" si="7"/>
        <v>0</v>
      </c>
      <c r="AE13" s="1182">
        <f t="shared" si="8"/>
        <v>0</v>
      </c>
      <c r="AF13" s="1040"/>
      <c r="AG13" s="1040"/>
      <c r="AH13" s="1038"/>
      <c r="AI13" s="1040"/>
      <c r="AJ13" s="1040"/>
      <c r="AK13" s="1040"/>
      <c r="AL13" s="1040"/>
      <c r="AM13" s="1043"/>
      <c r="AN13" s="1041"/>
      <c r="AO13" s="1041"/>
      <c r="AP13" s="1041"/>
      <c r="AQ13" s="1041"/>
      <c r="AR13" s="1041"/>
      <c r="AS13" s="1041"/>
      <c r="AT13" s="1041"/>
      <c r="AU13" s="1041"/>
    </row>
    <row r="14" spans="1:57" s="863" customFormat="1" ht="27.75" customHeight="1">
      <c r="A14" s="827" t="s">
        <v>770</v>
      </c>
      <c r="B14" s="659" t="s">
        <v>780</v>
      </c>
      <c r="C14" s="657">
        <f t="shared" si="2"/>
        <v>260</v>
      </c>
      <c r="D14" s="657"/>
      <c r="E14" s="658"/>
      <c r="F14" s="658"/>
      <c r="G14" s="658"/>
      <c r="H14" s="658">
        <f>I14+J14</f>
        <v>10</v>
      </c>
      <c r="I14" s="658">
        <v>10</v>
      </c>
      <c r="J14" s="658"/>
      <c r="K14" s="658">
        <f>M14+L14</f>
        <v>260</v>
      </c>
      <c r="L14" s="658">
        <v>260</v>
      </c>
      <c r="M14" s="658"/>
      <c r="N14" s="658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7">
        <f>C14</f>
        <v>260</v>
      </c>
      <c r="AA14" s="1182">
        <v>250</v>
      </c>
      <c r="AB14" s="1182">
        <v>10</v>
      </c>
      <c r="AC14" s="1182">
        <v>0</v>
      </c>
      <c r="AD14" s="1182">
        <f t="shared" si="7"/>
        <v>240</v>
      </c>
      <c r="AE14" s="1182"/>
      <c r="AF14" s="1038"/>
      <c r="AG14" s="1038"/>
      <c r="AH14" s="1038"/>
      <c r="AI14" s="1038"/>
      <c r="AJ14" s="1038"/>
      <c r="AK14" s="1038"/>
      <c r="AL14" s="1038"/>
      <c r="AM14" s="1042"/>
      <c r="AN14" s="1039"/>
      <c r="AO14" s="1039"/>
      <c r="AP14" s="1039"/>
      <c r="AQ14" s="1039"/>
      <c r="AR14" s="1039"/>
      <c r="AS14" s="1039"/>
      <c r="AT14" s="1039"/>
      <c r="AU14" s="1039"/>
      <c r="AV14" s="719"/>
      <c r="AW14" s="719"/>
      <c r="AX14" s="719"/>
      <c r="AY14" s="719"/>
      <c r="AZ14" s="719"/>
      <c r="BA14" s="719"/>
      <c r="BB14" s="719"/>
      <c r="BC14" s="719"/>
      <c r="BD14" s="719"/>
      <c r="BE14" s="719"/>
    </row>
    <row r="15" spans="1:57" s="1000" customFormat="1" ht="20.100000000000001" customHeight="1">
      <c r="A15" s="827" t="s">
        <v>771</v>
      </c>
      <c r="B15" s="1116" t="s">
        <v>607</v>
      </c>
      <c r="C15" s="657">
        <f>K15+N15+Q15+T15+W15</f>
        <v>1670</v>
      </c>
      <c r="D15" s="657"/>
      <c r="E15" s="658">
        <f>F15+G15</f>
        <v>0</v>
      </c>
      <c r="F15" s="658"/>
      <c r="G15" s="658"/>
      <c r="H15" s="658">
        <f t="shared" ref="H15" si="10">I15+J15</f>
        <v>0</v>
      </c>
      <c r="I15" s="658">
        <v>0</v>
      </c>
      <c r="J15" s="658"/>
      <c r="K15" s="658">
        <f>L15+M15</f>
        <v>0</v>
      </c>
      <c r="L15" s="658"/>
      <c r="M15" s="658"/>
      <c r="N15" s="658">
        <f>O15+P15</f>
        <v>0</v>
      </c>
      <c r="O15" s="658"/>
      <c r="P15" s="658"/>
      <c r="Q15" s="658">
        <f>R15+S15</f>
        <v>620</v>
      </c>
      <c r="R15" s="658">
        <v>620</v>
      </c>
      <c r="S15" s="658"/>
      <c r="T15" s="658">
        <f>U15+V15</f>
        <v>1050</v>
      </c>
      <c r="U15" s="658">
        <v>1050</v>
      </c>
      <c r="V15" s="658"/>
      <c r="W15" s="658"/>
      <c r="X15" s="658"/>
      <c r="Y15" s="658"/>
      <c r="Z15" s="657">
        <f>C15</f>
        <v>1670</v>
      </c>
      <c r="AA15" s="1182">
        <v>300</v>
      </c>
      <c r="AB15" s="1182">
        <v>0</v>
      </c>
      <c r="AC15" s="1182">
        <v>0</v>
      </c>
      <c r="AD15" s="1182">
        <f t="shared" si="7"/>
        <v>300</v>
      </c>
      <c r="AE15" s="1182"/>
      <c r="AF15" s="1038"/>
      <c r="AG15" s="1038"/>
      <c r="AH15" s="1038"/>
      <c r="AI15" s="1038"/>
      <c r="AJ15" s="1038"/>
      <c r="AK15" s="1038"/>
      <c r="AL15" s="1038"/>
      <c r="AM15" s="1042"/>
      <c r="AN15" s="1039"/>
      <c r="AO15" s="1039"/>
      <c r="AP15" s="1039"/>
      <c r="AQ15" s="1039"/>
      <c r="AR15" s="1039"/>
      <c r="AS15" s="1039"/>
      <c r="AT15" s="1039"/>
      <c r="AU15" s="1039"/>
    </row>
    <row r="16" spans="1:57" ht="20.100000000000001" hidden="1" customHeight="1" outlineLevel="1">
      <c r="A16" s="827"/>
      <c r="B16" s="659"/>
      <c r="C16" s="657">
        <f t="shared" si="2"/>
        <v>0</v>
      </c>
      <c r="D16" s="658">
        <f>'[4]wykoanie 2018 dp spr. Zarządu'!$Z$118</f>
        <v>300</v>
      </c>
      <c r="E16" s="658">
        <f t="shared" ref="E16" si="11">F16+G16</f>
        <v>300</v>
      </c>
      <c r="F16" s="658">
        <f>600-300</f>
        <v>300</v>
      </c>
      <c r="G16" s="658"/>
      <c r="H16" s="658">
        <f>I16+J16</f>
        <v>660</v>
      </c>
      <c r="I16" s="658">
        <v>660</v>
      </c>
      <c r="J16" s="658"/>
      <c r="K16" s="658">
        <f t="shared" ref="K16" si="12">L16+M16</f>
        <v>0</v>
      </c>
      <c r="L16" s="658"/>
      <c r="M16" s="658"/>
      <c r="N16" s="658">
        <f t="shared" si="9"/>
        <v>0</v>
      </c>
      <c r="O16" s="658"/>
      <c r="P16" s="658"/>
      <c r="Q16" s="658">
        <f t="shared" si="0"/>
        <v>0</v>
      </c>
      <c r="R16" s="658"/>
      <c r="S16" s="658"/>
      <c r="T16" s="658">
        <f t="shared" si="6"/>
        <v>0</v>
      </c>
      <c r="U16" s="658"/>
      <c r="V16" s="658"/>
      <c r="W16" s="658"/>
      <c r="X16" s="658"/>
      <c r="Y16" s="658"/>
      <c r="Z16" s="657">
        <f t="shared" si="1"/>
        <v>0</v>
      </c>
      <c r="AA16" s="1182">
        <v>650</v>
      </c>
      <c r="AB16" s="1182">
        <v>660</v>
      </c>
      <c r="AC16" s="1182">
        <v>0</v>
      </c>
      <c r="AD16" s="1182"/>
      <c r="AE16" s="1182">
        <f t="shared" si="8"/>
        <v>-10</v>
      </c>
    </row>
    <row r="17" spans="1:57" s="863" customFormat="1" ht="27.75" customHeight="1" collapsed="1">
      <c r="A17" s="827" t="s">
        <v>772</v>
      </c>
      <c r="B17" s="659" t="s">
        <v>795</v>
      </c>
      <c r="C17" s="657">
        <f t="shared" si="2"/>
        <v>940</v>
      </c>
      <c r="D17" s="657"/>
      <c r="E17" s="658"/>
      <c r="F17" s="658"/>
      <c r="G17" s="658"/>
      <c r="H17" s="658">
        <f>I17+J17</f>
        <v>0</v>
      </c>
      <c r="I17" s="658"/>
      <c r="J17" s="658"/>
      <c r="K17" s="658">
        <f>L17</f>
        <v>940</v>
      </c>
      <c r="L17" s="658">
        <f>960-20</f>
        <v>940</v>
      </c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7">
        <f>C17</f>
        <v>940</v>
      </c>
      <c r="AA17" s="1182">
        <v>472</v>
      </c>
      <c r="AB17" s="1182">
        <v>400</v>
      </c>
      <c r="AC17" s="1182">
        <v>540</v>
      </c>
      <c r="AD17" s="1182"/>
      <c r="AE17" s="1182">
        <f t="shared" si="8"/>
        <v>-468</v>
      </c>
      <c r="AF17" s="1038"/>
      <c r="AG17" s="1038"/>
      <c r="AH17" s="1038"/>
      <c r="AI17" s="1038"/>
      <c r="AJ17" s="1038"/>
      <c r="AK17" s="1038"/>
      <c r="AL17" s="1038"/>
      <c r="AM17" s="1042"/>
      <c r="AN17" s="1039"/>
      <c r="AO17" s="1039"/>
      <c r="AP17" s="1039"/>
      <c r="AQ17" s="1039"/>
      <c r="AR17" s="1039"/>
      <c r="AS17" s="1039"/>
      <c r="AT17" s="1039"/>
      <c r="AU17" s="1039"/>
      <c r="AV17" s="719"/>
      <c r="AW17" s="719"/>
      <c r="AX17" s="719"/>
      <c r="AY17" s="719"/>
      <c r="AZ17" s="719"/>
      <c r="BA17" s="719"/>
      <c r="BB17" s="719"/>
      <c r="BC17" s="719"/>
      <c r="BD17" s="719"/>
      <c r="BE17" s="719"/>
    </row>
    <row r="18" spans="1:57" s="863" customFormat="1" ht="27.75" hidden="1" customHeight="1" outlineLevel="1">
      <c r="A18" s="827"/>
      <c r="B18" s="659"/>
      <c r="C18" s="657">
        <f t="shared" si="2"/>
        <v>0</v>
      </c>
      <c r="D18" s="657"/>
      <c r="E18" s="658"/>
      <c r="F18" s="658"/>
      <c r="G18" s="658"/>
      <c r="H18" s="658">
        <f>I18</f>
        <v>0</v>
      </c>
      <c r="I18" s="658">
        <v>0</v>
      </c>
      <c r="J18" s="658"/>
      <c r="K18" s="658">
        <f>L18</f>
        <v>0</v>
      </c>
      <c r="L18" s="658">
        <v>0</v>
      </c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7">
        <f>C18</f>
        <v>0</v>
      </c>
      <c r="AA18" s="1182">
        <v>380</v>
      </c>
      <c r="AB18" s="1182">
        <v>0</v>
      </c>
      <c r="AC18" s="1182">
        <v>0</v>
      </c>
      <c r="AD18" s="1182">
        <f t="shared" si="7"/>
        <v>380</v>
      </c>
      <c r="AE18" s="1182"/>
      <c r="AF18" s="1038"/>
      <c r="AG18" s="1038"/>
      <c r="AH18" s="1038"/>
      <c r="AI18" s="1038"/>
      <c r="AJ18" s="1038"/>
      <c r="AK18" s="1038"/>
      <c r="AL18" s="1038"/>
      <c r="AM18" s="1042"/>
      <c r="AN18" s="1039"/>
      <c r="AO18" s="1039"/>
      <c r="AP18" s="1039"/>
      <c r="AQ18" s="1039"/>
      <c r="AR18" s="1039"/>
      <c r="AS18" s="1039"/>
      <c r="AT18" s="1039"/>
      <c r="AU18" s="1039"/>
      <c r="AV18" s="719"/>
      <c r="AW18" s="719"/>
      <c r="AX18" s="719"/>
      <c r="AY18" s="719"/>
      <c r="AZ18" s="719"/>
      <c r="BA18" s="719"/>
      <c r="BB18" s="719"/>
      <c r="BC18" s="719"/>
      <c r="BD18" s="719"/>
      <c r="BE18" s="719"/>
    </row>
    <row r="19" spans="1:57" ht="30" customHeight="1" collapsed="1">
      <c r="A19" s="827" t="s">
        <v>773</v>
      </c>
      <c r="B19" s="659" t="s">
        <v>933</v>
      </c>
      <c r="C19" s="657">
        <f t="shared" si="2"/>
        <v>1640</v>
      </c>
      <c r="D19" s="658">
        <v>556</v>
      </c>
      <c r="E19" s="658">
        <f>F19+G19</f>
        <v>1000</v>
      </c>
      <c r="F19" s="658">
        <v>1000</v>
      </c>
      <c r="G19" s="658"/>
      <c r="H19" s="658">
        <f>I19+J19</f>
        <v>400</v>
      </c>
      <c r="I19" s="658">
        <v>400</v>
      </c>
      <c r="J19" s="658"/>
      <c r="K19" s="658">
        <f>M19+L19</f>
        <v>660</v>
      </c>
      <c r="L19" s="658">
        <f>680-20</f>
        <v>660</v>
      </c>
      <c r="M19" s="658"/>
      <c r="N19" s="658">
        <f>O19+P19</f>
        <v>980</v>
      </c>
      <c r="O19" s="658">
        <f>1020-40</f>
        <v>980</v>
      </c>
      <c r="P19" s="658"/>
      <c r="Q19" s="658">
        <f t="shared" si="0"/>
        <v>0</v>
      </c>
      <c r="R19" s="658"/>
      <c r="S19" s="658"/>
      <c r="T19" s="658">
        <f t="shared" si="6"/>
        <v>0</v>
      </c>
      <c r="U19" s="658"/>
      <c r="V19" s="658"/>
      <c r="W19" s="658"/>
      <c r="X19" s="658"/>
      <c r="Y19" s="658"/>
      <c r="Z19" s="657">
        <f t="shared" si="1"/>
        <v>1640</v>
      </c>
      <c r="AA19" s="1182">
        <v>1200</v>
      </c>
      <c r="AB19" s="1182">
        <v>200</v>
      </c>
      <c r="AC19" s="1182">
        <v>0</v>
      </c>
      <c r="AD19" s="1182">
        <f t="shared" si="7"/>
        <v>1000</v>
      </c>
      <c r="AE19" s="1182"/>
    </row>
    <row r="20" spans="1:57" s="863" customFormat="1" ht="27" customHeight="1">
      <c r="A20" s="827" t="s">
        <v>774</v>
      </c>
      <c r="B20" s="659" t="s">
        <v>993</v>
      </c>
      <c r="C20" s="657">
        <f t="shared" si="2"/>
        <v>1280</v>
      </c>
      <c r="D20" s="657"/>
      <c r="E20" s="658">
        <f t="shared" ref="E20" si="13">F20+G20</f>
        <v>0</v>
      </c>
      <c r="F20" s="658"/>
      <c r="G20" s="658"/>
      <c r="H20" s="658">
        <f>I20+J20</f>
        <v>0</v>
      </c>
      <c r="I20" s="658">
        <v>0</v>
      </c>
      <c r="J20" s="658"/>
      <c r="K20" s="658">
        <f>L20+M20</f>
        <v>480</v>
      </c>
      <c r="L20" s="658">
        <f>500-20</f>
        <v>480</v>
      </c>
      <c r="M20" s="658"/>
      <c r="N20" s="658">
        <f>O20+P20</f>
        <v>800</v>
      </c>
      <c r="O20" s="658">
        <f>830-30</f>
        <v>800</v>
      </c>
      <c r="P20" s="658"/>
      <c r="Q20" s="658">
        <f t="shared" si="0"/>
        <v>0</v>
      </c>
      <c r="R20" s="658"/>
      <c r="S20" s="658"/>
      <c r="T20" s="658">
        <f t="shared" si="6"/>
        <v>0</v>
      </c>
      <c r="U20" s="658"/>
      <c r="V20" s="658"/>
      <c r="W20" s="658"/>
      <c r="X20" s="658"/>
      <c r="Y20" s="658"/>
      <c r="Z20" s="657">
        <f t="shared" si="1"/>
        <v>1280</v>
      </c>
      <c r="AA20" s="1182">
        <v>1000</v>
      </c>
      <c r="AB20" s="1182">
        <v>0</v>
      </c>
      <c r="AC20" s="1182">
        <v>0</v>
      </c>
      <c r="AD20" s="1182">
        <f t="shared" si="7"/>
        <v>1000</v>
      </c>
      <c r="AE20" s="1182"/>
      <c r="AF20" s="1038"/>
      <c r="AG20" s="1038"/>
      <c r="AH20" s="1038"/>
      <c r="AI20" s="1038"/>
      <c r="AJ20" s="1038"/>
      <c r="AK20" s="1038"/>
      <c r="AL20" s="1038"/>
      <c r="AM20" s="1042"/>
      <c r="AN20" s="1039"/>
      <c r="AO20" s="1039"/>
      <c r="AP20" s="1039"/>
      <c r="AQ20" s="1039"/>
      <c r="AR20" s="1039"/>
      <c r="AS20" s="1039"/>
      <c r="AT20" s="1039"/>
      <c r="AU20" s="1039"/>
      <c r="AV20" s="719"/>
      <c r="AW20" s="719"/>
      <c r="AX20" s="719"/>
      <c r="AY20" s="719"/>
      <c r="AZ20" s="719"/>
      <c r="BA20" s="719"/>
      <c r="BB20" s="719"/>
      <c r="BC20" s="719"/>
      <c r="BD20" s="719"/>
      <c r="BE20" s="719"/>
    </row>
    <row r="21" spans="1:57" s="1126" customFormat="1" ht="20.100000000000001" customHeight="1">
      <c r="A21" s="827" t="s">
        <v>775</v>
      </c>
      <c r="B21" s="659" t="s">
        <v>934</v>
      </c>
      <c r="C21" s="657">
        <f t="shared" si="2"/>
        <v>750</v>
      </c>
      <c r="D21" s="657"/>
      <c r="E21" s="658"/>
      <c r="F21" s="658"/>
      <c r="G21" s="658"/>
      <c r="H21" s="658"/>
      <c r="I21" s="658"/>
      <c r="J21" s="658"/>
      <c r="K21" s="658">
        <f>L21+M21</f>
        <v>750</v>
      </c>
      <c r="L21" s="658">
        <f>770-20</f>
        <v>750</v>
      </c>
      <c r="M21" s="658"/>
      <c r="N21" s="658"/>
      <c r="O21" s="658"/>
      <c r="P21" s="658"/>
      <c r="Q21" s="658"/>
      <c r="R21" s="658"/>
      <c r="S21" s="658"/>
      <c r="T21" s="658"/>
      <c r="U21" s="658"/>
      <c r="V21" s="658"/>
      <c r="W21" s="658"/>
      <c r="X21" s="658"/>
      <c r="Y21" s="658"/>
      <c r="Z21" s="657">
        <f t="shared" si="1"/>
        <v>750</v>
      </c>
      <c r="AA21" s="1182"/>
      <c r="AB21" s="1182"/>
      <c r="AC21" s="1182"/>
      <c r="AD21" s="1182"/>
      <c r="AE21" s="1182"/>
      <c r="AF21" s="1123"/>
      <c r="AG21" s="1123"/>
      <c r="AH21" s="1123"/>
      <c r="AI21" s="1123"/>
      <c r="AJ21" s="1123"/>
      <c r="AK21" s="1123"/>
      <c r="AL21" s="1123"/>
      <c r="AM21" s="1124"/>
      <c r="AN21" s="1125"/>
      <c r="AO21" s="1125"/>
      <c r="AP21" s="1125"/>
      <c r="AQ21" s="1125"/>
      <c r="AR21" s="1125"/>
      <c r="AS21" s="1125"/>
      <c r="AT21" s="1125"/>
      <c r="AU21" s="1125"/>
      <c r="AV21" s="1125"/>
      <c r="AW21" s="1125"/>
      <c r="AX21" s="1125"/>
      <c r="AY21" s="1125"/>
      <c r="AZ21" s="1125"/>
      <c r="BA21" s="1125"/>
      <c r="BB21" s="1125"/>
      <c r="BC21" s="1125"/>
      <c r="BD21" s="1125"/>
      <c r="BE21" s="1125"/>
    </row>
    <row r="22" spans="1:57" s="1126" customFormat="1" ht="18.75" hidden="1" customHeight="1" outlineLevel="1">
      <c r="A22" s="827"/>
      <c r="B22" s="659"/>
      <c r="C22" s="657">
        <f t="shared" si="2"/>
        <v>0</v>
      </c>
      <c r="D22" s="657"/>
      <c r="E22" s="658"/>
      <c r="F22" s="658"/>
      <c r="G22" s="658"/>
      <c r="H22" s="658">
        <f t="shared" ref="H22" si="14">I22+J22</f>
        <v>0</v>
      </c>
      <c r="I22" s="658">
        <f>50*0</f>
        <v>0</v>
      </c>
      <c r="J22" s="658"/>
      <c r="K22" s="658">
        <f t="shared" ref="K22" si="15">M22+L22</f>
        <v>0</v>
      </c>
      <c r="L22" s="658"/>
      <c r="M22" s="658"/>
      <c r="N22" s="658"/>
      <c r="O22" s="658"/>
      <c r="P22" s="658"/>
      <c r="Q22" s="658"/>
      <c r="R22" s="658"/>
      <c r="S22" s="658"/>
      <c r="T22" s="658"/>
      <c r="U22" s="658"/>
      <c r="V22" s="658"/>
      <c r="W22" s="658"/>
      <c r="X22" s="658"/>
      <c r="Y22" s="658"/>
      <c r="Z22" s="657">
        <f t="shared" si="1"/>
        <v>0</v>
      </c>
      <c r="AA22" s="1182"/>
      <c r="AB22" s="1182"/>
      <c r="AC22" s="1182"/>
      <c r="AD22" s="1182">
        <f t="shared" si="7"/>
        <v>0</v>
      </c>
      <c r="AE22" s="1182">
        <f t="shared" si="8"/>
        <v>0</v>
      </c>
      <c r="AF22" s="1123"/>
      <c r="AG22" s="1123"/>
      <c r="AH22" s="1123"/>
      <c r="AI22" s="1123"/>
      <c r="AJ22" s="1123"/>
      <c r="AK22" s="1123"/>
      <c r="AL22" s="1123"/>
      <c r="AM22" s="1124"/>
      <c r="AN22" s="1125"/>
      <c r="AO22" s="1125"/>
      <c r="AP22" s="1125"/>
      <c r="AQ22" s="1125"/>
      <c r="AR22" s="1125"/>
      <c r="AS22" s="1125"/>
      <c r="AT22" s="1125"/>
      <c r="AU22" s="1125"/>
      <c r="AV22" s="1125"/>
      <c r="AW22" s="1125"/>
      <c r="AX22" s="1125"/>
      <c r="AY22" s="1125"/>
      <c r="AZ22" s="1125"/>
      <c r="BA22" s="1125"/>
      <c r="BB22" s="1125"/>
      <c r="BC22" s="1125"/>
      <c r="BD22" s="1125"/>
      <c r="BE22" s="1125"/>
    </row>
    <row r="23" spans="1:57" s="863" customFormat="1" ht="27.75" hidden="1" customHeight="1" outlineLevel="1">
      <c r="A23" s="827"/>
      <c r="B23" s="659"/>
      <c r="C23" s="657">
        <f t="shared" si="2"/>
        <v>0</v>
      </c>
      <c r="D23" s="657"/>
      <c r="E23" s="658"/>
      <c r="F23" s="658"/>
      <c r="G23" s="658"/>
      <c r="H23" s="658">
        <f>I23</f>
        <v>80</v>
      </c>
      <c r="I23" s="658">
        <v>80</v>
      </c>
      <c r="J23" s="658"/>
      <c r="K23" s="658">
        <f>L23</f>
        <v>0</v>
      </c>
      <c r="L23" s="658">
        <v>0</v>
      </c>
      <c r="M23" s="658"/>
      <c r="N23" s="658"/>
      <c r="O23" s="658"/>
      <c r="P23" s="658"/>
      <c r="Q23" s="658"/>
      <c r="R23" s="658"/>
      <c r="S23" s="658"/>
      <c r="T23" s="658"/>
      <c r="U23" s="658"/>
      <c r="V23" s="658"/>
      <c r="W23" s="658"/>
      <c r="X23" s="658"/>
      <c r="Y23" s="658"/>
      <c r="Z23" s="657">
        <f t="shared" si="1"/>
        <v>0</v>
      </c>
      <c r="AA23" s="1182">
        <v>130</v>
      </c>
      <c r="AB23" s="1182">
        <v>80</v>
      </c>
      <c r="AC23" s="1182">
        <v>0</v>
      </c>
      <c r="AD23" s="1182">
        <f t="shared" si="7"/>
        <v>50</v>
      </c>
      <c r="AE23" s="1182"/>
      <c r="AF23" s="1038"/>
      <c r="AG23" s="1038"/>
      <c r="AH23" s="1038"/>
      <c r="AI23" s="1038"/>
      <c r="AJ23" s="1038"/>
      <c r="AK23" s="1038"/>
      <c r="AL23" s="1038"/>
      <c r="AM23" s="1042"/>
      <c r="AN23" s="1039"/>
      <c r="AO23" s="1039"/>
      <c r="AP23" s="1039"/>
      <c r="AQ23" s="1039"/>
      <c r="AR23" s="1039"/>
      <c r="AS23" s="1039"/>
      <c r="AT23" s="1039"/>
      <c r="AU23" s="1039"/>
      <c r="AV23" s="719"/>
      <c r="AW23" s="719"/>
      <c r="AX23" s="719"/>
      <c r="AY23" s="719"/>
      <c r="AZ23" s="719"/>
      <c r="BA23" s="719"/>
      <c r="BB23" s="719"/>
      <c r="BC23" s="719"/>
      <c r="BD23" s="719"/>
      <c r="BE23" s="719"/>
    </row>
    <row r="24" spans="1:57" s="863" customFormat="1" ht="27.75" customHeight="1" collapsed="1">
      <c r="A24" s="827" t="s">
        <v>776</v>
      </c>
      <c r="B24" s="659" t="s">
        <v>798</v>
      </c>
      <c r="C24" s="657">
        <f t="shared" si="2"/>
        <v>580</v>
      </c>
      <c r="D24" s="657"/>
      <c r="E24" s="658"/>
      <c r="F24" s="658"/>
      <c r="G24" s="658"/>
      <c r="H24" s="658">
        <f>I24</f>
        <v>0</v>
      </c>
      <c r="I24" s="658">
        <v>0</v>
      </c>
      <c r="J24" s="658"/>
      <c r="K24" s="658">
        <f>L24</f>
        <v>580</v>
      </c>
      <c r="L24" s="658">
        <f>290+310-20</f>
        <v>580</v>
      </c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8"/>
      <c r="Y24" s="658"/>
      <c r="Z24" s="657">
        <f t="shared" si="1"/>
        <v>580</v>
      </c>
      <c r="AA24" s="1182">
        <v>290</v>
      </c>
      <c r="AB24" s="1182">
        <v>0</v>
      </c>
      <c r="AC24" s="1182">
        <v>150</v>
      </c>
      <c r="AD24" s="1182">
        <f t="shared" si="7"/>
        <v>140</v>
      </c>
      <c r="AE24" s="1182"/>
      <c r="AF24" s="1038"/>
      <c r="AG24" s="1038"/>
      <c r="AH24" s="1038"/>
      <c r="AI24" s="1038"/>
      <c r="AJ24" s="1038"/>
      <c r="AK24" s="1038"/>
      <c r="AL24" s="1038"/>
      <c r="AM24" s="1042"/>
      <c r="AN24" s="1039"/>
      <c r="AO24" s="1039"/>
      <c r="AP24" s="1039"/>
      <c r="AQ24" s="1039"/>
      <c r="AR24" s="1039"/>
      <c r="AS24" s="1039"/>
      <c r="AT24" s="1039"/>
      <c r="AU24" s="1039"/>
      <c r="AV24" s="719"/>
      <c r="AW24" s="719"/>
      <c r="AX24" s="719"/>
      <c r="AY24" s="719"/>
      <c r="AZ24" s="719"/>
      <c r="BA24" s="719"/>
      <c r="BB24" s="719"/>
      <c r="BC24" s="719"/>
      <c r="BD24" s="719"/>
      <c r="BE24" s="719"/>
    </row>
    <row r="25" spans="1:57" s="1126" customFormat="1" ht="20.100000000000001" customHeight="1">
      <c r="A25" s="827" t="s">
        <v>777</v>
      </c>
      <c r="B25" s="659" t="s">
        <v>935</v>
      </c>
      <c r="C25" s="657">
        <f t="shared" si="2"/>
        <v>1000</v>
      </c>
      <c r="D25" s="657"/>
      <c r="E25" s="658"/>
      <c r="F25" s="658"/>
      <c r="G25" s="658"/>
      <c r="H25" s="658"/>
      <c r="I25" s="658"/>
      <c r="J25" s="658"/>
      <c r="K25" s="658">
        <f>L25+M25</f>
        <v>1000</v>
      </c>
      <c r="L25" s="658">
        <f>1020-20</f>
        <v>1000</v>
      </c>
      <c r="M25" s="658"/>
      <c r="N25" s="658"/>
      <c r="O25" s="658"/>
      <c r="P25" s="658"/>
      <c r="Q25" s="658"/>
      <c r="R25" s="658"/>
      <c r="S25" s="658"/>
      <c r="T25" s="658"/>
      <c r="U25" s="658"/>
      <c r="V25" s="658"/>
      <c r="W25" s="658"/>
      <c r="X25" s="658"/>
      <c r="Y25" s="658"/>
      <c r="Z25" s="657">
        <f t="shared" si="1"/>
        <v>1000</v>
      </c>
      <c r="AA25" s="1182"/>
      <c r="AB25" s="1182"/>
      <c r="AC25" s="1182"/>
      <c r="AD25" s="1182">
        <f t="shared" si="7"/>
        <v>0</v>
      </c>
      <c r="AE25" s="1182">
        <f t="shared" si="8"/>
        <v>0</v>
      </c>
      <c r="AF25" s="1123"/>
      <c r="AG25" s="1123"/>
      <c r="AH25" s="1123"/>
      <c r="AI25" s="1123"/>
      <c r="AJ25" s="1123"/>
      <c r="AK25" s="1123"/>
      <c r="AL25" s="1123"/>
      <c r="AM25" s="1124"/>
      <c r="AN25" s="1125"/>
      <c r="AO25" s="1125"/>
      <c r="AP25" s="1125"/>
      <c r="AQ25" s="1125"/>
      <c r="AR25" s="1125"/>
      <c r="AS25" s="1125"/>
      <c r="AT25" s="1125"/>
      <c r="AU25" s="1125"/>
      <c r="AV25" s="1125"/>
      <c r="AW25" s="1125"/>
      <c r="AX25" s="1125"/>
      <c r="AY25" s="1125"/>
      <c r="AZ25" s="1125"/>
      <c r="BA25" s="1125"/>
      <c r="BB25" s="1125"/>
      <c r="BC25" s="1125"/>
      <c r="BD25" s="1125"/>
      <c r="BE25" s="1125"/>
    </row>
    <row r="26" spans="1:57" s="863" customFormat="1" ht="20.100000000000001" customHeight="1">
      <c r="A26" s="827" t="s">
        <v>778</v>
      </c>
      <c r="B26" s="659" t="s">
        <v>972</v>
      </c>
      <c r="C26" s="657">
        <f t="shared" si="2"/>
        <v>700</v>
      </c>
      <c r="D26" s="657"/>
      <c r="E26" s="658"/>
      <c r="F26" s="658"/>
      <c r="G26" s="658"/>
      <c r="H26" s="658">
        <f>I26+J26</f>
        <v>0</v>
      </c>
      <c r="I26" s="658">
        <v>0</v>
      </c>
      <c r="J26" s="658"/>
      <c r="K26" s="658">
        <f>L26</f>
        <v>700</v>
      </c>
      <c r="L26" s="658">
        <f>720-20</f>
        <v>700</v>
      </c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7">
        <f t="shared" ref="Z26:Z27" si="16">C26</f>
        <v>700</v>
      </c>
      <c r="AA26" s="1182">
        <v>60</v>
      </c>
      <c r="AB26" s="1182">
        <v>0</v>
      </c>
      <c r="AC26" s="1182">
        <v>100</v>
      </c>
      <c r="AD26" s="1182"/>
      <c r="AE26" s="1182">
        <f t="shared" si="8"/>
        <v>-40</v>
      </c>
      <c r="AF26" s="1038"/>
      <c r="AG26" s="1038"/>
      <c r="AH26" s="1038"/>
      <c r="AI26" s="1038"/>
      <c r="AJ26" s="1038"/>
      <c r="AK26" s="1038"/>
      <c r="AL26" s="1038"/>
      <c r="AM26" s="1042"/>
      <c r="AN26" s="1039"/>
      <c r="AO26" s="1039"/>
      <c r="AP26" s="1039"/>
      <c r="AQ26" s="1039"/>
      <c r="AR26" s="1039"/>
      <c r="AS26" s="1039"/>
      <c r="AT26" s="1039"/>
      <c r="AU26" s="1039"/>
      <c r="AV26" s="719"/>
      <c r="AW26" s="719"/>
      <c r="AX26" s="719"/>
      <c r="AY26" s="719"/>
      <c r="AZ26" s="719"/>
      <c r="BA26" s="719"/>
      <c r="BB26" s="719"/>
      <c r="BC26" s="719"/>
      <c r="BD26" s="719"/>
      <c r="BE26" s="719"/>
    </row>
    <row r="27" spans="1:57" s="863" customFormat="1" ht="27.75" customHeight="1">
      <c r="A27" s="827" t="s">
        <v>779</v>
      </c>
      <c r="B27" s="659" t="s">
        <v>936</v>
      </c>
      <c r="C27" s="657">
        <f t="shared" si="2"/>
        <v>170</v>
      </c>
      <c r="D27" s="657"/>
      <c r="E27" s="658"/>
      <c r="F27" s="658"/>
      <c r="G27" s="658"/>
      <c r="H27" s="658">
        <f>I27</f>
        <v>0</v>
      </c>
      <c r="I27" s="658">
        <v>0</v>
      </c>
      <c r="J27" s="658"/>
      <c r="K27" s="658">
        <f>L27</f>
        <v>170</v>
      </c>
      <c r="L27" s="658">
        <f>180-10</f>
        <v>170</v>
      </c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7">
        <f t="shared" si="16"/>
        <v>170</v>
      </c>
      <c r="AA27" s="1182">
        <v>45</v>
      </c>
      <c r="AB27" s="1182">
        <v>0</v>
      </c>
      <c r="AC27" s="1182">
        <v>0</v>
      </c>
      <c r="AD27" s="1182">
        <f t="shared" si="7"/>
        <v>45</v>
      </c>
      <c r="AE27" s="1182"/>
      <c r="AF27" s="1038"/>
      <c r="AG27" s="1038"/>
      <c r="AH27" s="1038"/>
      <c r="AI27" s="1038"/>
      <c r="AJ27" s="1038"/>
      <c r="AK27" s="1038"/>
      <c r="AL27" s="1038"/>
      <c r="AM27" s="1042"/>
      <c r="AN27" s="1039"/>
      <c r="AO27" s="1039"/>
      <c r="AP27" s="1039"/>
      <c r="AQ27" s="1039"/>
      <c r="AR27" s="1039"/>
      <c r="AS27" s="1039"/>
      <c r="AT27" s="1039"/>
      <c r="AU27" s="1039"/>
      <c r="AV27" s="719"/>
      <c r="AW27" s="719"/>
      <c r="AX27" s="719"/>
      <c r="AY27" s="719"/>
      <c r="AZ27" s="719"/>
      <c r="BA27" s="719"/>
      <c r="BB27" s="719"/>
      <c r="BC27" s="719"/>
      <c r="BD27" s="719"/>
      <c r="BE27" s="719"/>
    </row>
    <row r="28" spans="1:57" ht="20.100000000000001" hidden="1" customHeight="1" outlineLevel="1">
      <c r="A28" s="827"/>
      <c r="B28" s="659"/>
      <c r="C28" s="657">
        <f t="shared" si="2"/>
        <v>0</v>
      </c>
      <c r="D28" s="657"/>
      <c r="E28" s="658">
        <f>F28+G28</f>
        <v>0</v>
      </c>
      <c r="F28" s="658">
        <v>0</v>
      </c>
      <c r="G28" s="658">
        <f>5420*0</f>
        <v>0</v>
      </c>
      <c r="H28" s="658">
        <f>I28+J28</f>
        <v>0</v>
      </c>
      <c r="I28" s="658"/>
      <c r="J28" s="658">
        <f>7007*0</f>
        <v>0</v>
      </c>
      <c r="K28" s="658">
        <f>M28+L28</f>
        <v>0</v>
      </c>
      <c r="L28" s="658">
        <v>0</v>
      </c>
      <c r="M28" s="658">
        <f>176*0</f>
        <v>0</v>
      </c>
      <c r="N28" s="658">
        <f>O28+P28</f>
        <v>0</v>
      </c>
      <c r="O28" s="658">
        <v>0</v>
      </c>
      <c r="P28" s="658"/>
      <c r="Q28" s="658">
        <f t="shared" ref="Q28:Q34" si="17">R28+S28</f>
        <v>0</v>
      </c>
      <c r="R28" s="658"/>
      <c r="S28" s="658"/>
      <c r="T28" s="658">
        <f>U28+V28</f>
        <v>0</v>
      </c>
      <c r="U28" s="658"/>
      <c r="V28" s="658"/>
      <c r="W28" s="658"/>
      <c r="X28" s="658"/>
      <c r="Y28" s="658"/>
      <c r="Z28" s="657">
        <f>C28</f>
        <v>0</v>
      </c>
      <c r="AA28" s="1182"/>
      <c r="AB28" s="1182"/>
      <c r="AC28" s="1182"/>
      <c r="AD28" s="1182">
        <f t="shared" si="7"/>
        <v>0</v>
      </c>
      <c r="AE28" s="1182">
        <f t="shared" si="8"/>
        <v>0</v>
      </c>
    </row>
    <row r="29" spans="1:57" s="1000" customFormat="1" ht="68.25" customHeight="1" collapsed="1">
      <c r="A29" s="827" t="s">
        <v>785</v>
      </c>
      <c r="B29" s="659" t="s">
        <v>990</v>
      </c>
      <c r="C29" s="657">
        <f t="shared" si="2"/>
        <v>3760</v>
      </c>
      <c r="D29" s="658"/>
      <c r="E29" s="658">
        <f t="shared" ref="E29" si="18">F29+G29</f>
        <v>0</v>
      </c>
      <c r="F29" s="658">
        <v>0</v>
      </c>
      <c r="G29" s="658"/>
      <c r="H29" s="658">
        <f t="shared" ref="H29" si="19">I29+J29</f>
        <v>0</v>
      </c>
      <c r="I29" s="658">
        <f>1000*0</f>
        <v>0</v>
      </c>
      <c r="J29" s="658"/>
      <c r="K29" s="658">
        <f>L29+M29</f>
        <v>0</v>
      </c>
      <c r="L29" s="658">
        <v>0</v>
      </c>
      <c r="M29" s="658"/>
      <c r="N29" s="658">
        <f>O29+P29</f>
        <v>1150</v>
      </c>
      <c r="O29" s="658">
        <f>1200-50</f>
        <v>1150</v>
      </c>
      <c r="P29" s="658"/>
      <c r="Q29" s="658">
        <f t="shared" si="17"/>
        <v>1000</v>
      </c>
      <c r="R29" s="658">
        <v>1000</v>
      </c>
      <c r="S29" s="658"/>
      <c r="T29" s="658">
        <f>U29+V29</f>
        <v>1000</v>
      </c>
      <c r="U29" s="658">
        <v>1000</v>
      </c>
      <c r="V29" s="658"/>
      <c r="W29" s="658">
        <f>X29+Y29</f>
        <v>610</v>
      </c>
      <c r="X29" s="658">
        <v>610</v>
      </c>
      <c r="Y29" s="658"/>
      <c r="Z29" s="657">
        <f>C29</f>
        <v>3760</v>
      </c>
      <c r="AA29" s="1182"/>
      <c r="AB29" s="1182"/>
      <c r="AC29" s="1182"/>
      <c r="AD29" s="1182">
        <f t="shared" si="7"/>
        <v>0</v>
      </c>
      <c r="AE29" s="1182">
        <f t="shared" si="8"/>
        <v>0</v>
      </c>
      <c r="AF29" s="1038"/>
      <c r="AG29" s="1038"/>
      <c r="AH29" s="1038"/>
      <c r="AI29" s="1038"/>
      <c r="AJ29" s="1038"/>
      <c r="AK29" s="1038"/>
      <c r="AL29" s="1038"/>
      <c r="AM29" s="1042"/>
      <c r="AN29" s="1039"/>
      <c r="AO29" s="1039"/>
      <c r="AP29" s="1039"/>
      <c r="AQ29" s="1039"/>
      <c r="AR29" s="1039"/>
      <c r="AS29" s="1039"/>
      <c r="AT29" s="1039"/>
      <c r="AU29" s="1039"/>
    </row>
    <row r="30" spans="1:57" s="863" customFormat="1" ht="20.100000000000001" customHeight="1">
      <c r="A30" s="827" t="s">
        <v>791</v>
      </c>
      <c r="B30" s="659" t="s">
        <v>649</v>
      </c>
      <c r="C30" s="657">
        <f t="shared" si="2"/>
        <v>770</v>
      </c>
      <c r="D30" s="657"/>
      <c r="E30" s="658">
        <f>F30+G30</f>
        <v>0</v>
      </c>
      <c r="F30" s="658">
        <f>250*0</f>
        <v>0</v>
      </c>
      <c r="G30" s="658"/>
      <c r="H30" s="658">
        <f>I30+J30</f>
        <v>0</v>
      </c>
      <c r="I30" s="658"/>
      <c r="J30" s="658"/>
      <c r="K30" s="658">
        <f>M30+L30</f>
        <v>100</v>
      </c>
      <c r="L30" s="658">
        <v>100</v>
      </c>
      <c r="M30" s="658"/>
      <c r="N30" s="658">
        <f>O30+P30</f>
        <v>470</v>
      </c>
      <c r="O30" s="658">
        <f>500-30</f>
        <v>470</v>
      </c>
      <c r="P30" s="658"/>
      <c r="Q30" s="658">
        <f t="shared" si="17"/>
        <v>200</v>
      </c>
      <c r="R30" s="658">
        <f>300-100</f>
        <v>200</v>
      </c>
      <c r="S30" s="658"/>
      <c r="T30" s="658">
        <f>U30+V30</f>
        <v>0</v>
      </c>
      <c r="U30" s="658"/>
      <c r="V30" s="658"/>
      <c r="W30" s="658"/>
      <c r="X30" s="658"/>
      <c r="Y30" s="658"/>
      <c r="Z30" s="657">
        <f>C30</f>
        <v>770</v>
      </c>
      <c r="AA30" s="1182"/>
      <c r="AB30" s="1182"/>
      <c r="AC30" s="1182"/>
      <c r="AD30" s="1182">
        <f t="shared" si="7"/>
        <v>0</v>
      </c>
      <c r="AE30" s="1182">
        <f t="shared" si="8"/>
        <v>0</v>
      </c>
      <c r="AF30" s="1038"/>
      <c r="AG30" s="1038"/>
      <c r="AH30" s="1038"/>
      <c r="AI30" s="1038"/>
      <c r="AJ30" s="1038"/>
      <c r="AK30" s="1038"/>
      <c r="AL30" s="1038"/>
      <c r="AM30" s="1042"/>
      <c r="AN30" s="1039"/>
      <c r="AO30" s="1039"/>
      <c r="AP30" s="1039"/>
      <c r="AQ30" s="1039"/>
      <c r="AR30" s="1039"/>
      <c r="AS30" s="1039"/>
      <c r="AT30" s="1039"/>
      <c r="AU30" s="1039"/>
      <c r="AV30" s="719"/>
      <c r="AW30" s="719"/>
      <c r="AX30" s="719"/>
      <c r="AY30" s="719"/>
      <c r="AZ30" s="719"/>
      <c r="BA30" s="719"/>
      <c r="BB30" s="719"/>
      <c r="BC30" s="719"/>
      <c r="BD30" s="719"/>
      <c r="BE30" s="719"/>
    </row>
    <row r="31" spans="1:57" ht="20.100000000000001" customHeight="1">
      <c r="A31" s="827" t="s">
        <v>796</v>
      </c>
      <c r="B31" s="659" t="s">
        <v>724</v>
      </c>
      <c r="C31" s="657">
        <f>K31+N31+Q31+T31+W31</f>
        <v>820</v>
      </c>
      <c r="D31" s="658">
        <v>0</v>
      </c>
      <c r="E31" s="658"/>
      <c r="F31" s="658"/>
      <c r="G31" s="658"/>
      <c r="H31" s="658">
        <f>I31+J31</f>
        <v>0</v>
      </c>
      <c r="I31" s="658"/>
      <c r="J31" s="658"/>
      <c r="K31" s="658">
        <f>L31+M31</f>
        <v>0</v>
      </c>
      <c r="L31" s="658">
        <v>0</v>
      </c>
      <c r="M31" s="658"/>
      <c r="N31" s="658">
        <f>O31+P31</f>
        <v>0</v>
      </c>
      <c r="O31" s="658"/>
      <c r="P31" s="658"/>
      <c r="Q31" s="658">
        <f t="shared" si="17"/>
        <v>820</v>
      </c>
      <c r="R31" s="658">
        <v>820</v>
      </c>
      <c r="S31" s="658"/>
      <c r="T31" s="658">
        <f>U31+V31</f>
        <v>0</v>
      </c>
      <c r="U31" s="658"/>
      <c r="V31" s="658"/>
      <c r="W31" s="658"/>
      <c r="X31" s="658"/>
      <c r="Y31" s="658"/>
      <c r="Z31" s="657">
        <f>C31</f>
        <v>820</v>
      </c>
      <c r="AA31" s="1182"/>
      <c r="AB31" s="1182"/>
      <c r="AC31" s="1182"/>
      <c r="AD31" s="1182">
        <f t="shared" si="7"/>
        <v>0</v>
      </c>
      <c r="AE31" s="1182">
        <f t="shared" si="8"/>
        <v>0</v>
      </c>
    </row>
    <row r="32" spans="1:57" s="863" customFormat="1" ht="20.100000000000001" customHeight="1">
      <c r="A32" s="827" t="s">
        <v>797</v>
      </c>
      <c r="B32" s="659" t="s">
        <v>712</v>
      </c>
      <c r="C32" s="657">
        <f t="shared" si="2"/>
        <v>2300</v>
      </c>
      <c r="D32" s="658">
        <v>796</v>
      </c>
      <c r="E32" s="658">
        <f>F32+G32</f>
        <v>350</v>
      </c>
      <c r="F32" s="658">
        <v>350</v>
      </c>
      <c r="G32" s="658"/>
      <c r="H32" s="658">
        <f>I32</f>
        <v>850</v>
      </c>
      <c r="I32" s="658">
        <v>850</v>
      </c>
      <c r="J32" s="658"/>
      <c r="K32" s="658">
        <f>L32+M32</f>
        <v>200</v>
      </c>
      <c r="L32" s="658">
        <f>50+150</f>
        <v>200</v>
      </c>
      <c r="M32" s="658"/>
      <c r="N32" s="658">
        <f>O32+P32</f>
        <v>200</v>
      </c>
      <c r="O32" s="658">
        <f>50+150</f>
        <v>200</v>
      </c>
      <c r="P32" s="658"/>
      <c r="Q32" s="658">
        <f t="shared" si="17"/>
        <v>250</v>
      </c>
      <c r="R32" s="658">
        <f>200+50</f>
        <v>250</v>
      </c>
      <c r="S32" s="658"/>
      <c r="T32" s="658">
        <f t="shared" si="6"/>
        <v>150</v>
      </c>
      <c r="U32" s="658">
        <f>100+50</f>
        <v>150</v>
      </c>
      <c r="V32" s="658"/>
      <c r="W32" s="658">
        <f>X32+Y32</f>
        <v>1500</v>
      </c>
      <c r="X32" s="658">
        <f>1450+50</f>
        <v>1500</v>
      </c>
      <c r="Y32" s="658"/>
      <c r="Z32" s="657">
        <f t="shared" si="1"/>
        <v>2300</v>
      </c>
      <c r="AA32" s="1182">
        <v>400</v>
      </c>
      <c r="AB32" s="1182">
        <v>850</v>
      </c>
      <c r="AC32" s="1182">
        <v>0</v>
      </c>
      <c r="AD32" s="1182"/>
      <c r="AE32" s="1182">
        <f t="shared" si="8"/>
        <v>-450</v>
      </c>
      <c r="AF32" s="1038"/>
      <c r="AG32" s="1038"/>
      <c r="AH32" s="1038"/>
      <c r="AI32" s="1038"/>
      <c r="AJ32" s="1038"/>
      <c r="AK32" s="1038"/>
      <c r="AL32" s="1038"/>
      <c r="AM32" s="1042"/>
      <c r="AN32" s="1039"/>
      <c r="AO32" s="1039"/>
      <c r="AP32" s="1039"/>
      <c r="AQ32" s="1039"/>
      <c r="AR32" s="1039"/>
      <c r="AS32" s="1039"/>
      <c r="AT32" s="1039"/>
      <c r="AU32" s="1039"/>
      <c r="AV32" s="719"/>
      <c r="AW32" s="719"/>
      <c r="AX32" s="719"/>
      <c r="AY32" s="719"/>
      <c r="AZ32" s="719"/>
      <c r="BA32" s="719"/>
      <c r="BB32" s="719"/>
      <c r="BC32" s="719"/>
      <c r="BD32" s="719"/>
      <c r="BE32" s="719"/>
    </row>
    <row r="33" spans="1:31" ht="20.100000000000001" hidden="1" customHeight="1" outlineLevel="1">
      <c r="A33" s="668"/>
      <c r="B33" s="659"/>
      <c r="C33" s="657">
        <f t="shared" si="2"/>
        <v>0</v>
      </c>
      <c r="D33" s="657"/>
      <c r="E33" s="658">
        <f>G33+F33</f>
        <v>195</v>
      </c>
      <c r="F33" s="658">
        <v>195</v>
      </c>
      <c r="G33" s="658"/>
      <c r="H33" s="658">
        <f>J33+I33</f>
        <v>245</v>
      </c>
      <c r="I33" s="658">
        <f>50+195</f>
        <v>245</v>
      </c>
      <c r="J33" s="658"/>
      <c r="K33" s="658">
        <f>M33+L33</f>
        <v>0</v>
      </c>
      <c r="L33" s="658">
        <v>0</v>
      </c>
      <c r="M33" s="658"/>
      <c r="N33" s="658">
        <f>P33+O33</f>
        <v>0</v>
      </c>
      <c r="O33" s="658">
        <v>0</v>
      </c>
      <c r="P33" s="658"/>
      <c r="Q33" s="658">
        <f t="shared" si="17"/>
        <v>0</v>
      </c>
      <c r="R33" s="658">
        <v>0</v>
      </c>
      <c r="S33" s="658"/>
      <c r="T33" s="658">
        <f>U33+V33</f>
        <v>0</v>
      </c>
      <c r="U33" s="658">
        <v>0</v>
      </c>
      <c r="V33" s="658">
        <v>0</v>
      </c>
      <c r="W33" s="658">
        <f>X33+Y33</f>
        <v>0</v>
      </c>
      <c r="X33" s="658">
        <v>0</v>
      </c>
      <c r="Y33" s="658"/>
      <c r="Z33" s="657">
        <f t="shared" si="1"/>
        <v>0</v>
      </c>
      <c r="AA33" s="1182">
        <v>50</v>
      </c>
      <c r="AB33" s="1182">
        <v>50</v>
      </c>
      <c r="AC33" s="1182">
        <v>0</v>
      </c>
      <c r="AD33" s="1182">
        <f t="shared" si="7"/>
        <v>0</v>
      </c>
      <c r="AE33" s="1182"/>
    </row>
    <row r="34" spans="1:31" ht="22.5" customHeight="1" collapsed="1">
      <c r="A34" s="1530" t="s">
        <v>650</v>
      </c>
      <c r="B34" s="1530"/>
      <c r="C34" s="657">
        <f>K34+N34+Q34+T34+W34</f>
        <v>18210</v>
      </c>
      <c r="D34" s="658">
        <f>D10+D11+D13+D33+D12</f>
        <v>10389</v>
      </c>
      <c r="E34" s="658">
        <f>F34+G34</f>
        <v>4245</v>
      </c>
      <c r="F34" s="658">
        <f>F10+F11+F12+F13+F33</f>
        <v>4245</v>
      </c>
      <c r="G34" s="658">
        <f>G10+G11+G12+G13+G33</f>
        <v>0</v>
      </c>
      <c r="H34" s="658">
        <f>I34+J34</f>
        <v>8955</v>
      </c>
      <c r="I34" s="658">
        <f>I10+I11+I12+I13+I33</f>
        <v>6055</v>
      </c>
      <c r="J34" s="658">
        <f>J10+J11+J12+J13+J33</f>
        <v>2900</v>
      </c>
      <c r="K34" s="658">
        <f>M34+L34</f>
        <v>7410</v>
      </c>
      <c r="L34" s="658">
        <f>L10+L11+L12+L13+L33</f>
        <v>7070</v>
      </c>
      <c r="M34" s="658">
        <f>M10+M11+M12+M13+M33</f>
        <v>340</v>
      </c>
      <c r="N34" s="658">
        <f>O34+P34</f>
        <v>3600</v>
      </c>
      <c r="O34" s="658">
        <f>O10+O11+O12+O13+O33</f>
        <v>3600</v>
      </c>
      <c r="P34" s="658">
        <f>P10+P11+P12+P13+P33</f>
        <v>0</v>
      </c>
      <c r="Q34" s="658">
        <f t="shared" si="17"/>
        <v>2890</v>
      </c>
      <c r="R34" s="658">
        <f>R10+R11+R12+R13+R33</f>
        <v>2890</v>
      </c>
      <c r="S34" s="658">
        <f>S10+S11+S12+S13+S33</f>
        <v>0</v>
      </c>
      <c r="T34" s="658">
        <f t="shared" si="6"/>
        <v>2200</v>
      </c>
      <c r="U34" s="658">
        <f>U10+U11+U12+U13+U33</f>
        <v>2200</v>
      </c>
      <c r="V34" s="658">
        <f>V10+V11+V12+V13+V33</f>
        <v>0</v>
      </c>
      <c r="W34" s="658">
        <f>X34+Y34</f>
        <v>2110</v>
      </c>
      <c r="X34" s="658">
        <f>X10+X11+X12+X13+X33</f>
        <v>2110</v>
      </c>
      <c r="Y34" s="658">
        <f>Y10+Y11+Y12+Y13+Y33</f>
        <v>0</v>
      </c>
      <c r="Z34" s="657">
        <f>C34</f>
        <v>18210</v>
      </c>
      <c r="AA34" s="1182"/>
      <c r="AB34" s="1182"/>
      <c r="AC34" s="1182"/>
      <c r="AD34" s="1182"/>
      <c r="AE34" s="1182"/>
    </row>
    <row r="37" spans="1:31">
      <c r="C37" s="864"/>
    </row>
    <row r="38" spans="1:31">
      <c r="C38" s="736"/>
      <c r="E38" s="1517"/>
      <c r="F38" s="1517"/>
      <c r="H38" s="1517"/>
      <c r="I38" s="1517"/>
      <c r="K38" s="1517"/>
      <c r="L38" s="1517"/>
      <c r="N38" s="1517"/>
      <c r="O38" s="1517"/>
    </row>
    <row r="39" spans="1:31">
      <c r="B39" s="831" t="s">
        <v>671</v>
      </c>
      <c r="C39" s="736"/>
      <c r="E39" s="1516">
        <v>2020</v>
      </c>
      <c r="F39" s="1516"/>
      <c r="G39" s="734"/>
      <c r="H39" s="1516">
        <v>2021</v>
      </c>
      <c r="I39" s="1516"/>
      <c r="J39" s="734"/>
      <c r="K39" s="1516">
        <v>2022</v>
      </c>
      <c r="L39" s="1516"/>
      <c r="M39" s="734"/>
      <c r="N39" s="1516">
        <v>2023</v>
      </c>
      <c r="O39" s="1516"/>
      <c r="P39" s="734"/>
      <c r="Q39" s="1516">
        <v>2024</v>
      </c>
      <c r="R39" s="1516"/>
      <c r="S39" s="734"/>
      <c r="T39" s="734"/>
      <c r="U39" s="734"/>
      <c r="V39" s="734"/>
      <c r="W39" s="734"/>
      <c r="X39" s="734"/>
      <c r="Y39" s="734"/>
    </row>
    <row r="40" spans="1:31">
      <c r="B40" s="736"/>
      <c r="D40" s="737"/>
      <c r="E40" s="1519">
        <f>E29+E30+E19+E11+E32</f>
        <v>3550</v>
      </c>
      <c r="F40" s="1519"/>
      <c r="H40" s="1519">
        <f>H29+H16+H28+H19+H20+E20+H32</f>
        <v>1910</v>
      </c>
      <c r="I40" s="1516"/>
      <c r="K40" s="1519">
        <f>K29+K19+K15+H15+K30+K32</f>
        <v>960</v>
      </c>
      <c r="L40" s="1516"/>
      <c r="N40" s="1519">
        <f>N19+K31+N31+N32</f>
        <v>1180</v>
      </c>
      <c r="O40" s="1516"/>
      <c r="P40" s="877"/>
      <c r="Q40" s="1518"/>
      <c r="R40" s="1518"/>
      <c r="S40" s="877"/>
      <c r="T40" s="877"/>
      <c r="U40" s="877"/>
      <c r="V40" s="877"/>
      <c r="W40" s="877"/>
      <c r="X40" s="877"/>
      <c r="Y40" s="877"/>
      <c r="Z40" s="877"/>
    </row>
    <row r="41" spans="1:31">
      <c r="B41" s="736"/>
      <c r="E41" s="736">
        <f>E40</f>
        <v>3550</v>
      </c>
      <c r="H41" s="736">
        <f>H40</f>
        <v>1910</v>
      </c>
      <c r="K41" s="736">
        <f>K40</f>
        <v>960</v>
      </c>
      <c r="N41" s="736">
        <f>N40</f>
        <v>1180</v>
      </c>
      <c r="P41" s="1518"/>
      <c r="Q41" s="1518"/>
      <c r="R41" s="1518"/>
      <c r="S41" s="1518"/>
      <c r="T41" s="1518"/>
      <c r="U41" s="1518"/>
      <c r="V41" s="1518"/>
      <c r="W41" s="1518"/>
      <c r="X41" s="1518"/>
      <c r="Y41" s="1518"/>
      <c r="Z41" s="1518"/>
    </row>
    <row r="42" spans="1:31">
      <c r="E42" s="1518"/>
      <c r="F42" s="1518"/>
      <c r="G42" s="1105"/>
      <c r="H42" s="1518"/>
      <c r="I42" s="1518"/>
      <c r="K42" s="1518"/>
      <c r="L42" s="1518"/>
      <c r="N42" s="1518"/>
      <c r="O42" s="1518"/>
      <c r="P42" s="877"/>
      <c r="Q42" s="1518"/>
      <c r="R42" s="1518"/>
      <c r="S42" s="877"/>
      <c r="T42" s="877"/>
      <c r="U42" s="877"/>
      <c r="V42" s="877"/>
      <c r="W42" s="877"/>
      <c r="X42" s="877"/>
      <c r="Y42" s="877"/>
      <c r="Z42" s="877"/>
    </row>
    <row r="43" spans="1:31">
      <c r="C43" s="736"/>
      <c r="P43" s="1518"/>
      <c r="Q43" s="1518"/>
      <c r="R43" s="1518"/>
      <c r="S43" s="1518"/>
      <c r="T43" s="1518"/>
      <c r="U43" s="1518"/>
      <c r="V43" s="1518"/>
      <c r="W43" s="1518"/>
      <c r="X43" s="1518"/>
      <c r="Y43" s="1518"/>
      <c r="Z43" s="1518"/>
    </row>
    <row r="44" spans="1:31">
      <c r="B44" s="736"/>
      <c r="K44" s="1229"/>
      <c r="L44" s="1229"/>
      <c r="M44" s="1229"/>
      <c r="N44" s="1229"/>
      <c r="O44" s="1229"/>
      <c r="P44" s="1229"/>
      <c r="Q44" s="1229"/>
      <c r="R44" s="1230"/>
      <c r="S44" s="1229"/>
      <c r="T44" s="1231"/>
    </row>
    <row r="45" spans="1:31">
      <c r="B45" s="736"/>
    </row>
    <row r="48" spans="1:31">
      <c r="B48" s="719">
        <f>160+235+90+70</f>
        <v>555</v>
      </c>
      <c r="D48" s="719">
        <v>33935</v>
      </c>
    </row>
    <row r="49" spans="2:4">
      <c r="B49" s="719">
        <v>1400</v>
      </c>
      <c r="D49" s="908">
        <f>Z34-D48</f>
        <v>-15725</v>
      </c>
    </row>
    <row r="50" spans="2:4">
      <c r="B50" s="719">
        <v>1800</v>
      </c>
    </row>
    <row r="51" spans="2:4">
      <c r="B51" s="719">
        <f>B48+B49+B50</f>
        <v>3755</v>
      </c>
    </row>
  </sheetData>
  <mergeCells count="38">
    <mergeCell ref="A34:B34"/>
    <mergeCell ref="A5:Z5"/>
    <mergeCell ref="B6:B8"/>
    <mergeCell ref="A6:A8"/>
    <mergeCell ref="K7:M7"/>
    <mergeCell ref="N7:P7"/>
    <mergeCell ref="E7:G7"/>
    <mergeCell ref="H7:J7"/>
    <mergeCell ref="C7:C8"/>
    <mergeCell ref="A2:P2"/>
    <mergeCell ref="A3:P4"/>
    <mergeCell ref="D7:D8"/>
    <mergeCell ref="D6:Z6"/>
    <mergeCell ref="Z7:Z8"/>
    <mergeCell ref="Q7:S7"/>
    <mergeCell ref="T7:V7"/>
    <mergeCell ref="W7:Y7"/>
    <mergeCell ref="P41:Z41"/>
    <mergeCell ref="P43:Z43"/>
    <mergeCell ref="N42:O42"/>
    <mergeCell ref="Q42:R42"/>
    <mergeCell ref="E40:F40"/>
    <mergeCell ref="H40:I40"/>
    <mergeCell ref="K40:L40"/>
    <mergeCell ref="E42:F42"/>
    <mergeCell ref="H42:I42"/>
    <mergeCell ref="K42:L42"/>
    <mergeCell ref="E39:F39"/>
    <mergeCell ref="E38:F38"/>
    <mergeCell ref="Q39:R39"/>
    <mergeCell ref="Q40:R40"/>
    <mergeCell ref="N40:O40"/>
    <mergeCell ref="N38:O38"/>
    <mergeCell ref="H39:I39"/>
    <mergeCell ref="K39:L39"/>
    <mergeCell ref="N39:O39"/>
    <mergeCell ref="H38:I38"/>
    <mergeCell ref="K38:L38"/>
  </mergeCells>
  <phoneticPr fontId="6" type="noConversion"/>
  <conditionalFormatting sqref="D34 F34:G34 I34:J34 L34:M34 O34:S34 U34:Y34">
    <cfRule type="cellIs" dxfId="0" priority="1" stopIfTrue="1" operator="notEqual">
      <formula>#REF!+#REF!+#REF!+#REF!+#REF!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8" firstPageNumber="17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B1:AF128"/>
  <sheetViews>
    <sheetView view="pageBreakPreview" zoomScaleNormal="100" zoomScaleSheetLayoutView="100" workbookViewId="0">
      <pane ySplit="5" topLeftCell="A33" activePane="bottomLeft" state="frozen"/>
      <selection pane="bottomLeft" activeCell="D41" sqref="D41"/>
    </sheetView>
  </sheetViews>
  <sheetFormatPr defaultColWidth="8.85546875" defaultRowHeight="15.75" outlineLevelCol="1"/>
  <cols>
    <col min="1" max="1" width="2.7109375" style="783" customWidth="1"/>
    <col min="2" max="2" width="4.85546875" style="782" customWidth="1"/>
    <col min="3" max="3" width="3.28515625" style="783" customWidth="1"/>
    <col min="4" max="4" width="61.7109375" style="783" customWidth="1"/>
    <col min="5" max="8" width="9.28515625" style="783" hidden="1" customWidth="1" outlineLevel="1"/>
    <col min="9" max="9" width="9.28515625" style="783" customWidth="1" collapsed="1"/>
    <col min="10" max="13" width="9.28515625" style="783" customWidth="1"/>
    <col min="14" max="24" width="8.85546875" style="783" customWidth="1"/>
    <col min="25" max="16384" width="8.85546875" style="783"/>
  </cols>
  <sheetData>
    <row r="1" spans="2:14" ht="18" customHeight="1">
      <c r="H1" s="749"/>
      <c r="I1" s="749"/>
      <c r="J1" s="749"/>
      <c r="K1" s="750" t="s">
        <v>1000</v>
      </c>
      <c r="L1" s="750"/>
    </row>
    <row r="2" spans="2:14" s="784" customFormat="1">
      <c r="B2" s="749" t="s">
        <v>1001</v>
      </c>
      <c r="C2" s="749"/>
      <c r="D2" s="749"/>
      <c r="E2" s="749"/>
      <c r="F2" s="749"/>
      <c r="G2" s="749"/>
      <c r="H2" s="749"/>
      <c r="I2" s="749"/>
      <c r="J2" s="749"/>
      <c r="K2" s="749"/>
      <c r="L2" s="749"/>
    </row>
    <row r="3" spans="2:14" ht="18" customHeight="1">
      <c r="B3" s="783"/>
      <c r="C3" s="750"/>
      <c r="D3" s="750"/>
      <c r="J3" s="1541"/>
      <c r="K3" s="1541"/>
      <c r="L3" s="749" t="s">
        <v>188</v>
      </c>
    </row>
    <row r="4" spans="2:14" ht="15" customHeight="1">
      <c r="B4" s="1538" t="s">
        <v>31</v>
      </c>
      <c r="C4" s="1538"/>
      <c r="D4" s="1538"/>
      <c r="E4" s="1538" t="s">
        <v>606</v>
      </c>
      <c r="F4" s="1538"/>
      <c r="G4" s="1538"/>
      <c r="H4" s="1538"/>
      <c r="I4" s="1538"/>
      <c r="J4" s="1538"/>
      <c r="K4" s="1538"/>
      <c r="L4" s="1538"/>
      <c r="M4" s="1538"/>
      <c r="N4" s="1538"/>
    </row>
    <row r="5" spans="2:14" ht="24" customHeight="1">
      <c r="B5" s="1538"/>
      <c r="C5" s="1538"/>
      <c r="D5" s="1538"/>
      <c r="E5" s="936">
        <v>2017</v>
      </c>
      <c r="F5" s="936">
        <v>2018</v>
      </c>
      <c r="G5" s="936">
        <v>2019</v>
      </c>
      <c r="H5" s="936">
        <v>2020</v>
      </c>
      <c r="I5" s="936">
        <v>2021</v>
      </c>
      <c r="J5" s="936">
        <v>2022</v>
      </c>
      <c r="K5" s="936">
        <v>2023</v>
      </c>
      <c r="L5" s="936">
        <v>2024</v>
      </c>
      <c r="M5" s="936">
        <v>2025</v>
      </c>
      <c r="N5" s="1356">
        <v>2026</v>
      </c>
    </row>
    <row r="6" spans="2:14" ht="16.5" customHeight="1">
      <c r="B6" s="785" t="s">
        <v>32</v>
      </c>
      <c r="C6" s="786" t="s">
        <v>33</v>
      </c>
      <c r="D6" s="786"/>
      <c r="E6" s="787"/>
      <c r="F6" s="787"/>
      <c r="G6" s="787"/>
      <c r="H6" s="787"/>
      <c r="I6" s="787"/>
      <c r="J6" s="787"/>
      <c r="K6" s="787"/>
      <c r="L6" s="787"/>
      <c r="M6" s="986"/>
      <c r="N6" s="1128"/>
    </row>
    <row r="7" spans="2:14" ht="15" customHeight="1">
      <c r="B7" s="781" t="s">
        <v>34</v>
      </c>
      <c r="C7" s="1537" t="s">
        <v>35</v>
      </c>
      <c r="D7" s="1537"/>
      <c r="E7" s="789">
        <v>1405</v>
      </c>
      <c r="F7" s="790">
        <v>2321</v>
      </c>
      <c r="G7" s="790">
        <v>2963</v>
      </c>
      <c r="H7" s="790">
        <v>2150</v>
      </c>
      <c r="I7" s="790">
        <v>2706</v>
      </c>
      <c r="J7" s="790">
        <v>550</v>
      </c>
      <c r="K7" s="790">
        <v>1200</v>
      </c>
      <c r="L7" s="790">
        <v>1200</v>
      </c>
      <c r="M7" s="790">
        <v>1200</v>
      </c>
      <c r="N7" s="790">
        <v>1200</v>
      </c>
    </row>
    <row r="8" spans="2:14" ht="15" customHeight="1">
      <c r="B8" s="781" t="s">
        <v>36</v>
      </c>
      <c r="C8" s="1537" t="s">
        <v>37</v>
      </c>
      <c r="D8" s="1537"/>
      <c r="E8" s="788">
        <f>SUM(E9:E19)</f>
        <v>27345</v>
      </c>
      <c r="F8" s="788">
        <f>SUM(F9:F19)</f>
        <v>30452</v>
      </c>
      <c r="G8" s="788">
        <f>SUM(G9:G19)</f>
        <v>28969</v>
      </c>
      <c r="H8" s="788">
        <f>SUM(H9:H19)</f>
        <v>24191</v>
      </c>
      <c r="I8" s="788">
        <f t="shared" ref="I8:K8" si="0">SUM(I9:I19)</f>
        <v>35850</v>
      </c>
      <c r="J8" s="788">
        <f t="shared" si="0"/>
        <v>31717</v>
      </c>
      <c r="K8" s="788">
        <f t="shared" si="0"/>
        <v>32326</v>
      </c>
      <c r="L8" s="788">
        <f t="shared" ref="L8" si="1">SUM(L9:L19)</f>
        <v>35261</v>
      </c>
      <c r="M8" s="788">
        <f>SUM(M9:M19)</f>
        <v>34309</v>
      </c>
      <c r="N8" s="788">
        <f>SUM(N9:N19)</f>
        <v>32684</v>
      </c>
    </row>
    <row r="9" spans="2:14" ht="15" customHeight="1">
      <c r="B9" s="780"/>
      <c r="C9" s="780" t="s">
        <v>38</v>
      </c>
      <c r="D9" s="789" t="s">
        <v>39</v>
      </c>
      <c r="E9" s="788">
        <v>29330</v>
      </c>
      <c r="F9" s="788">
        <v>29650</v>
      </c>
      <c r="G9" s="788">
        <v>30354</v>
      </c>
      <c r="H9" s="788">
        <v>31473</v>
      </c>
      <c r="I9" s="788">
        <v>33433</v>
      </c>
      <c r="J9" s="788">
        <f>Amortyzacja!L4</f>
        <v>34650</v>
      </c>
      <c r="K9" s="788">
        <f>Amortyzacja!M4</f>
        <v>35074</v>
      </c>
      <c r="L9" s="788">
        <f>Amortyzacja!N4</f>
        <v>38065</v>
      </c>
      <c r="M9" s="788">
        <f>Amortyzacja!O4</f>
        <v>37019</v>
      </c>
      <c r="N9" s="788">
        <f>Amortyzacja!P4</f>
        <v>35158</v>
      </c>
    </row>
    <row r="10" spans="2:14" ht="15" customHeight="1">
      <c r="B10" s="780"/>
      <c r="C10" s="780" t="s">
        <v>40</v>
      </c>
      <c r="D10" s="789" t="s">
        <v>41</v>
      </c>
      <c r="E10" s="789"/>
      <c r="F10" s="790"/>
      <c r="G10" s="790"/>
      <c r="H10" s="790"/>
      <c r="I10" s="790"/>
      <c r="J10" s="790"/>
      <c r="K10" s="790"/>
      <c r="L10" s="790"/>
      <c r="M10" s="790"/>
      <c r="N10" s="790"/>
    </row>
    <row r="11" spans="2:14" ht="15" customHeight="1">
      <c r="B11" s="780"/>
      <c r="C11" s="780" t="s">
        <v>42</v>
      </c>
      <c r="D11" s="789" t="s">
        <v>43</v>
      </c>
      <c r="E11" s="788">
        <v>198</v>
      </c>
      <c r="F11" s="788">
        <v>360</v>
      </c>
      <c r="G11" s="788">
        <v>760</v>
      </c>
      <c r="H11" s="788">
        <v>600</v>
      </c>
      <c r="I11" s="788">
        <v>528</v>
      </c>
      <c r="J11" s="788">
        <f>pożyczki.dotacje!H39-pożyczki.dotacje!H40</f>
        <v>1098</v>
      </c>
      <c r="K11" s="788">
        <f>pożyczki.dotacje!I39-pożyczki.dotacje!I40</f>
        <v>1283</v>
      </c>
      <c r="L11" s="788">
        <f>pożyczki.dotacje!J39-pożyczki.dotacje!J40</f>
        <v>1228</v>
      </c>
      <c r="M11" s="788">
        <f>pożyczki.dotacje!K39-pożyczki.dotacje!K40</f>
        <v>1321</v>
      </c>
      <c r="N11" s="788">
        <f>pożyczki.dotacje!L39-pożyczki.dotacje!L40</f>
        <v>1557</v>
      </c>
    </row>
    <row r="12" spans="2:14" ht="15" customHeight="1">
      <c r="B12" s="780"/>
      <c r="C12" s="780" t="s">
        <v>44</v>
      </c>
      <c r="D12" s="789" t="s">
        <v>45</v>
      </c>
      <c r="E12" s="790">
        <v>934</v>
      </c>
      <c r="F12" s="790">
        <v>367</v>
      </c>
      <c r="G12" s="790">
        <v>1261</v>
      </c>
      <c r="H12" s="790">
        <v>-11</v>
      </c>
      <c r="I12" s="790">
        <v>263</v>
      </c>
      <c r="J12" s="790">
        <v>200</v>
      </c>
      <c r="K12" s="790">
        <v>200</v>
      </c>
      <c r="L12" s="790">
        <v>200</v>
      </c>
      <c r="M12" s="790">
        <v>200</v>
      </c>
      <c r="N12" s="790">
        <v>200</v>
      </c>
    </row>
    <row r="13" spans="2:14" ht="15" customHeight="1">
      <c r="B13" s="780"/>
      <c r="C13" s="780" t="s">
        <v>46</v>
      </c>
      <c r="D13" s="789" t="s">
        <v>47</v>
      </c>
      <c r="E13" s="790">
        <v>-72</v>
      </c>
      <c r="F13" s="790">
        <v>314</v>
      </c>
      <c r="G13" s="790">
        <v>500</v>
      </c>
      <c r="H13" s="790">
        <v>109</v>
      </c>
      <c r="I13" s="790">
        <v>-30</v>
      </c>
      <c r="J13" s="790">
        <v>500</v>
      </c>
      <c r="K13" s="790">
        <f t="shared" ref="K13:N14" si="2">J13</f>
        <v>500</v>
      </c>
      <c r="L13" s="790">
        <f t="shared" si="2"/>
        <v>500</v>
      </c>
      <c r="M13" s="790">
        <f t="shared" si="2"/>
        <v>500</v>
      </c>
      <c r="N13" s="790">
        <f t="shared" si="2"/>
        <v>500</v>
      </c>
    </row>
    <row r="14" spans="2:14" ht="15" customHeight="1">
      <c r="B14" s="780"/>
      <c r="C14" s="780" t="s">
        <v>48</v>
      </c>
      <c r="D14" s="789" t="s">
        <v>49</v>
      </c>
      <c r="E14" s="788">
        <v>-44</v>
      </c>
      <c r="F14" s="788">
        <v>-356</v>
      </c>
      <c r="G14" s="790">
        <v>500</v>
      </c>
      <c r="H14" s="790">
        <v>-807</v>
      </c>
      <c r="I14" s="790">
        <v>-380</v>
      </c>
      <c r="J14" s="790">
        <v>-100</v>
      </c>
      <c r="K14" s="790">
        <f t="shared" si="2"/>
        <v>-100</v>
      </c>
      <c r="L14" s="790">
        <f t="shared" si="2"/>
        <v>-100</v>
      </c>
      <c r="M14" s="790">
        <f t="shared" si="2"/>
        <v>-100</v>
      </c>
      <c r="N14" s="790">
        <f t="shared" si="2"/>
        <v>-100</v>
      </c>
    </row>
    <row r="15" spans="2:14" ht="15" customHeight="1">
      <c r="B15" s="780"/>
      <c r="C15" s="780" t="s">
        <v>50</v>
      </c>
      <c r="D15" s="789" t="s">
        <v>51</v>
      </c>
      <c r="E15" s="788">
        <v>-2363</v>
      </c>
      <c r="F15" s="788">
        <v>1810</v>
      </c>
      <c r="G15" s="790">
        <v>-773</v>
      </c>
      <c r="H15" s="790">
        <v>-1375</v>
      </c>
      <c r="I15" s="790">
        <v>2564</v>
      </c>
      <c r="J15" s="790">
        <v>-250</v>
      </c>
      <c r="K15" s="790">
        <f t="shared" ref="K15:N15" si="3">J15</f>
        <v>-250</v>
      </c>
      <c r="L15" s="790">
        <f t="shared" si="3"/>
        <v>-250</v>
      </c>
      <c r="M15" s="790">
        <f t="shared" si="3"/>
        <v>-250</v>
      </c>
      <c r="N15" s="790">
        <f t="shared" si="3"/>
        <v>-250</v>
      </c>
    </row>
    <row r="16" spans="2:14" ht="15" customHeight="1">
      <c r="B16" s="780"/>
      <c r="C16" s="780" t="s">
        <v>52</v>
      </c>
      <c r="D16" s="789" t="s">
        <v>53</v>
      </c>
      <c r="E16" s="789"/>
      <c r="F16" s="790"/>
      <c r="G16" s="790"/>
      <c r="H16" s="790"/>
      <c r="I16" s="790"/>
      <c r="J16" s="790"/>
      <c r="K16" s="790"/>
      <c r="L16" s="790"/>
      <c r="M16" s="790"/>
      <c r="N16" s="790"/>
    </row>
    <row r="17" spans="2:30" ht="15" customHeight="1">
      <c r="B17" s="780"/>
      <c r="C17" s="780"/>
      <c r="D17" s="789" t="s">
        <v>67</v>
      </c>
      <c r="E17" s="790">
        <v>1147</v>
      </c>
      <c r="F17" s="790">
        <v>792</v>
      </c>
      <c r="G17" s="790">
        <v>217</v>
      </c>
      <c r="H17" s="790">
        <v>-2596</v>
      </c>
      <c r="I17" s="790">
        <v>3586</v>
      </c>
      <c r="J17" s="790">
        <v>-200</v>
      </c>
      <c r="K17" s="790">
        <f t="shared" ref="K17:N17" si="4">J17</f>
        <v>-200</v>
      </c>
      <c r="L17" s="790">
        <f t="shared" si="4"/>
        <v>-200</v>
      </c>
      <c r="M17" s="790">
        <f t="shared" si="4"/>
        <v>-200</v>
      </c>
      <c r="N17" s="790">
        <f t="shared" si="4"/>
        <v>-200</v>
      </c>
    </row>
    <row r="18" spans="2:30" ht="15" customHeight="1">
      <c r="B18" s="780"/>
      <c r="C18" s="780" t="s">
        <v>68</v>
      </c>
      <c r="D18" s="789" t="s">
        <v>69</v>
      </c>
      <c r="E18" s="790">
        <v>-1803</v>
      </c>
      <c r="F18" s="790">
        <v>-2504</v>
      </c>
      <c r="G18" s="790">
        <v>-3869</v>
      </c>
      <c r="H18" s="790">
        <v>-3221</v>
      </c>
      <c r="I18" s="790">
        <v>-4132</v>
      </c>
      <c r="J18" s="790">
        <v>-4200</v>
      </c>
      <c r="K18" s="790">
        <f t="shared" ref="K18" si="5">J18</f>
        <v>-4200</v>
      </c>
      <c r="L18" s="790">
        <f>K18</f>
        <v>-4200</v>
      </c>
      <c r="M18" s="790">
        <f>L18</f>
        <v>-4200</v>
      </c>
      <c r="N18" s="790">
        <f>M18</f>
        <v>-4200</v>
      </c>
    </row>
    <row r="19" spans="2:30" ht="15" customHeight="1">
      <c r="B19" s="791"/>
      <c r="C19" s="791" t="s">
        <v>70</v>
      </c>
      <c r="D19" s="792" t="s">
        <v>71</v>
      </c>
      <c r="E19" s="793">
        <v>18</v>
      </c>
      <c r="F19" s="793">
        <v>19</v>
      </c>
      <c r="G19" s="793">
        <v>19</v>
      </c>
      <c r="H19" s="793">
        <v>19</v>
      </c>
      <c r="I19" s="793">
        <v>18</v>
      </c>
      <c r="J19" s="793">
        <v>19</v>
      </c>
      <c r="K19" s="793">
        <v>19</v>
      </c>
      <c r="L19" s="793">
        <f t="shared" ref="L19:N19" si="6">I19</f>
        <v>18</v>
      </c>
      <c r="M19" s="793">
        <f t="shared" si="6"/>
        <v>19</v>
      </c>
      <c r="N19" s="793">
        <f t="shared" si="6"/>
        <v>19</v>
      </c>
    </row>
    <row r="20" spans="2:30" ht="16.899999999999999" customHeight="1">
      <c r="B20" s="794" t="s">
        <v>72</v>
      </c>
      <c r="C20" s="1539" t="s">
        <v>73</v>
      </c>
      <c r="D20" s="1539"/>
      <c r="E20" s="795">
        <f>E7+E8</f>
        <v>28750</v>
      </c>
      <c r="F20" s="795">
        <f>F7+F8</f>
        <v>32773</v>
      </c>
      <c r="G20" s="795">
        <f t="shared" ref="G20:J20" si="7">G7+G8</f>
        <v>31932</v>
      </c>
      <c r="H20" s="795">
        <f>H7+H8</f>
        <v>26341</v>
      </c>
      <c r="I20" s="795">
        <f t="shared" si="7"/>
        <v>38556</v>
      </c>
      <c r="J20" s="795">
        <f t="shared" si="7"/>
        <v>32267</v>
      </c>
      <c r="K20" s="795">
        <f>K7+K8</f>
        <v>33526</v>
      </c>
      <c r="L20" s="795">
        <f>L7+L8</f>
        <v>36461</v>
      </c>
      <c r="M20" s="795">
        <f>M7+M8</f>
        <v>35509</v>
      </c>
      <c r="N20" s="795">
        <f>N7+N8</f>
        <v>33884</v>
      </c>
    </row>
    <row r="21" spans="2:30" s="749" customFormat="1" ht="16.899999999999999" customHeight="1">
      <c r="B21" s="796" t="s">
        <v>74</v>
      </c>
      <c r="C21" s="797" t="s">
        <v>75</v>
      </c>
      <c r="D21" s="797"/>
      <c r="E21" s="798"/>
      <c r="F21" s="799"/>
      <c r="G21" s="799"/>
      <c r="H21" s="799"/>
      <c r="I21" s="799"/>
      <c r="J21" s="799"/>
      <c r="K21" s="799"/>
      <c r="L21" s="799"/>
      <c r="M21" s="799"/>
      <c r="N21" s="799"/>
    </row>
    <row r="22" spans="2:30" ht="15" customHeight="1">
      <c r="B22" s="781" t="s">
        <v>34</v>
      </c>
      <c r="C22" s="1537" t="s">
        <v>76</v>
      </c>
      <c r="D22" s="1537"/>
      <c r="E22" s="790">
        <f t="shared" ref="E22:K22" si="8">E24+E25+E26+E27</f>
        <v>334</v>
      </c>
      <c r="F22" s="790">
        <f t="shared" si="8"/>
        <v>137</v>
      </c>
      <c r="G22" s="790">
        <f t="shared" si="8"/>
        <v>84</v>
      </c>
      <c r="H22" s="790">
        <f t="shared" si="8"/>
        <v>196</v>
      </c>
      <c r="I22" s="790">
        <v>134</v>
      </c>
      <c r="J22" s="790">
        <f t="shared" si="8"/>
        <v>0</v>
      </c>
      <c r="K22" s="790">
        <f t="shared" si="8"/>
        <v>0</v>
      </c>
      <c r="L22" s="790">
        <f t="shared" ref="L22:N22" si="9">L24+L25+L26+L27</f>
        <v>2000</v>
      </c>
      <c r="M22" s="790">
        <f t="shared" si="9"/>
        <v>0</v>
      </c>
      <c r="N22" s="790">
        <f t="shared" si="9"/>
        <v>0</v>
      </c>
    </row>
    <row r="23" spans="2:30" ht="15" customHeight="1">
      <c r="B23" s="781"/>
      <c r="C23" s="780" t="s">
        <v>38</v>
      </c>
      <c r="D23" s="789" t="s">
        <v>77</v>
      </c>
      <c r="E23" s="789"/>
      <c r="F23" s="790"/>
      <c r="G23" s="790"/>
      <c r="H23" s="790"/>
      <c r="I23" s="790"/>
      <c r="J23" s="790"/>
      <c r="K23" s="790"/>
      <c r="L23" s="790"/>
      <c r="M23" s="790"/>
      <c r="N23" s="790"/>
    </row>
    <row r="24" spans="2:30" ht="15" customHeight="1">
      <c r="B24" s="781"/>
      <c r="C24" s="780"/>
      <c r="D24" s="789" t="s">
        <v>78</v>
      </c>
      <c r="E24" s="789">
        <v>334</v>
      </c>
      <c r="F24" s="790">
        <v>137</v>
      </c>
      <c r="G24" s="790">
        <v>84</v>
      </c>
      <c r="H24" s="790">
        <v>196</v>
      </c>
      <c r="I24" s="790">
        <v>134</v>
      </c>
      <c r="J24" s="790">
        <v>0</v>
      </c>
      <c r="K24" s="790">
        <v>0</v>
      </c>
      <c r="L24" s="790">
        <v>2000</v>
      </c>
      <c r="M24" s="790">
        <v>0</v>
      </c>
      <c r="N24" s="790">
        <v>0</v>
      </c>
    </row>
    <row r="25" spans="2:30" ht="15" customHeight="1">
      <c r="B25" s="781"/>
      <c r="C25" s="780" t="s">
        <v>40</v>
      </c>
      <c r="D25" s="789" t="s">
        <v>79</v>
      </c>
      <c r="E25" s="789"/>
      <c r="F25" s="790"/>
      <c r="G25" s="790"/>
      <c r="H25" s="790"/>
      <c r="I25" s="790"/>
      <c r="J25" s="790"/>
      <c r="K25" s="790"/>
      <c r="L25" s="790"/>
      <c r="M25" s="790"/>
      <c r="N25" s="790"/>
    </row>
    <row r="26" spans="2:30" ht="15" customHeight="1">
      <c r="B26" s="781"/>
      <c r="C26" s="780" t="s">
        <v>42</v>
      </c>
      <c r="D26" s="789" t="s">
        <v>80</v>
      </c>
      <c r="E26" s="789"/>
      <c r="F26" s="790"/>
      <c r="G26" s="790"/>
      <c r="H26" s="790"/>
      <c r="I26" s="790"/>
      <c r="J26" s="790"/>
      <c r="K26" s="790"/>
      <c r="L26" s="790"/>
      <c r="M26" s="790"/>
      <c r="N26" s="790"/>
    </row>
    <row r="27" spans="2:30" ht="15" customHeight="1">
      <c r="B27" s="781"/>
      <c r="C27" s="780" t="s">
        <v>44</v>
      </c>
      <c r="D27" s="789" t="s">
        <v>81</v>
      </c>
      <c r="E27" s="789"/>
      <c r="F27" s="790"/>
      <c r="G27" s="790"/>
      <c r="H27" s="790"/>
      <c r="I27" s="790"/>
      <c r="J27" s="790"/>
      <c r="K27" s="790"/>
      <c r="L27" s="790"/>
      <c r="M27" s="790"/>
      <c r="N27" s="790"/>
      <c r="O27" s="813"/>
      <c r="P27" s="813"/>
      <c r="Q27" s="813"/>
      <c r="R27" s="813"/>
      <c r="S27" s="813"/>
    </row>
    <row r="28" spans="2:30" ht="15" customHeight="1">
      <c r="B28" s="781" t="s">
        <v>36</v>
      </c>
      <c r="C28" s="1537" t="s">
        <v>82</v>
      </c>
      <c r="D28" s="1537"/>
      <c r="E28" s="790">
        <f t="shared" ref="E28:N28" si="10">E30+E32+E33+E34</f>
        <v>24470</v>
      </c>
      <c r="F28" s="790">
        <f t="shared" si="10"/>
        <v>51004</v>
      </c>
      <c r="G28" s="790">
        <f t="shared" si="10"/>
        <v>42022</v>
      </c>
      <c r="H28" s="790">
        <f t="shared" si="10"/>
        <v>70561</v>
      </c>
      <c r="I28" s="790">
        <f t="shared" si="10"/>
        <v>53051</v>
      </c>
      <c r="J28" s="790">
        <f t="shared" si="10"/>
        <v>53256</v>
      </c>
      <c r="K28" s="790">
        <f t="shared" si="10"/>
        <v>62994</v>
      </c>
      <c r="L28" s="790">
        <f t="shared" si="10"/>
        <v>64099</v>
      </c>
      <c r="M28" s="790">
        <f t="shared" si="10"/>
        <v>41919</v>
      </c>
      <c r="N28" s="790">
        <f t="shared" si="10"/>
        <v>35345</v>
      </c>
      <c r="O28" s="813"/>
      <c r="P28" s="813"/>
      <c r="Q28" s="813"/>
      <c r="R28" s="813"/>
    </row>
    <row r="29" spans="2:30" ht="15" customHeight="1">
      <c r="B29" s="781"/>
      <c r="C29" s="780" t="s">
        <v>38</v>
      </c>
      <c r="D29" s="789" t="s">
        <v>83</v>
      </c>
      <c r="E29" s="789"/>
      <c r="F29" s="790"/>
      <c r="G29" s="790"/>
      <c r="H29" s="790"/>
      <c r="I29" s="790"/>
      <c r="J29" s="790"/>
      <c r="K29" s="790"/>
      <c r="L29" s="790"/>
      <c r="M29" s="790"/>
      <c r="N29" s="790"/>
      <c r="O29" s="813"/>
      <c r="P29" s="813"/>
      <c r="Q29" s="813"/>
      <c r="R29" s="813"/>
      <c r="S29" s="813"/>
    </row>
    <row r="30" spans="2:30" ht="15" customHeight="1">
      <c r="B30" s="781"/>
      <c r="C30" s="780"/>
      <c r="D30" s="789" t="s">
        <v>78</v>
      </c>
      <c r="E30" s="788">
        <v>24470</v>
      </c>
      <c r="F30" s="788">
        <v>51004</v>
      </c>
      <c r="G30" s="788">
        <v>42022</v>
      </c>
      <c r="H30" s="788">
        <v>70561</v>
      </c>
      <c r="I30" s="788">
        <v>53051</v>
      </c>
      <c r="J30" s="788">
        <f>('T4 WPI 2022-2026'!H31+pożyczki.dotacje!H55)</f>
        <v>53256</v>
      </c>
      <c r="K30" s="788">
        <f>('T4 WPI 2022-2026'!I31+pożyczki.dotacje!I55)</f>
        <v>62994</v>
      </c>
      <c r="L30" s="788">
        <f>('T4 WPI 2022-2026'!J31+pożyczki.dotacje!M55)</f>
        <v>64099</v>
      </c>
      <c r="M30" s="788">
        <f>'T4 WPI 2022-2026'!K31+pożyczki.dotacje!K55</f>
        <v>41919</v>
      </c>
      <c r="N30" s="788">
        <f>'T4 WPI 2022-2026'!L31+pożyczki.dotacje!L55</f>
        <v>35345</v>
      </c>
    </row>
    <row r="31" spans="2:30" ht="15" hidden="1" customHeight="1">
      <c r="B31" s="781"/>
      <c r="C31" s="781" t="s">
        <v>531</v>
      </c>
      <c r="D31" s="789" t="s">
        <v>805</v>
      </c>
      <c r="E31" s="788">
        <v>1683</v>
      </c>
      <c r="F31" s="788">
        <v>4621</v>
      </c>
      <c r="G31" s="788">
        <v>6590</v>
      </c>
      <c r="H31" s="788"/>
      <c r="I31" s="788">
        <f>'T2 kanalizacja 2022-2026'!E12+'T3 WPI 2022-2026'!H13</f>
        <v>17481</v>
      </c>
      <c r="J31" s="788">
        <f>'T2 kanalizacja 2022-2026'!H12+'T3 WPI 2022-2026'!K13</f>
        <v>17012</v>
      </c>
      <c r="K31" s="788">
        <f>'T2 kanalizacja 2022-2026'!K12+'T3 WPI 2022-2026'!N13</f>
        <v>3634</v>
      </c>
      <c r="L31" s="788">
        <f>'T2 kanalizacja 2022-2026'!N12+'T3 WPI 2022-2026'!Q13</f>
        <v>2890</v>
      </c>
      <c r="M31" s="788">
        <f>'T2 kanalizacja 2022-2026'!O12+'T3 WPI 2022-2026'!T13</f>
        <v>2200</v>
      </c>
      <c r="N31" s="788"/>
      <c r="O31" s="813"/>
      <c r="P31" s="813"/>
      <c r="Q31" s="813"/>
      <c r="R31" s="813"/>
      <c r="S31" s="813"/>
    </row>
    <row r="32" spans="2:30" ht="15" customHeight="1">
      <c r="B32" s="781"/>
      <c r="C32" s="780" t="s">
        <v>40</v>
      </c>
      <c r="D32" s="789" t="s">
        <v>84</v>
      </c>
      <c r="E32" s="789"/>
      <c r="F32" s="790"/>
      <c r="G32" s="790"/>
      <c r="H32" s="790"/>
      <c r="I32" s="790"/>
      <c r="J32" s="790"/>
      <c r="K32" s="790"/>
      <c r="L32" s="790"/>
      <c r="M32" s="790"/>
      <c r="N32" s="790"/>
      <c r="AA32" s="813"/>
      <c r="AB32" s="813"/>
      <c r="AC32" s="813"/>
      <c r="AD32" s="813"/>
    </row>
    <row r="33" spans="2:30" ht="15" customHeight="1">
      <c r="B33" s="781"/>
      <c r="C33" s="780" t="s">
        <v>42</v>
      </c>
      <c r="D33" s="789" t="s">
        <v>619</v>
      </c>
      <c r="E33" s="789"/>
      <c r="F33" s="790"/>
      <c r="G33" s="790"/>
      <c r="H33" s="790"/>
      <c r="I33" s="790"/>
      <c r="J33" s="790"/>
      <c r="K33" s="790"/>
      <c r="L33" s="790"/>
      <c r="M33" s="790"/>
      <c r="N33" s="790"/>
      <c r="AA33" s="813"/>
      <c r="AB33" s="813"/>
      <c r="AC33" s="813"/>
      <c r="AD33" s="813"/>
    </row>
    <row r="34" spans="2:30" ht="15" customHeight="1">
      <c r="B34" s="814"/>
      <c r="C34" s="791" t="s">
        <v>44</v>
      </c>
      <c r="D34" s="792" t="s">
        <v>85</v>
      </c>
      <c r="E34" s="792"/>
      <c r="F34" s="793"/>
      <c r="G34" s="793"/>
      <c r="H34" s="793"/>
      <c r="I34" s="793"/>
      <c r="J34" s="793"/>
      <c r="K34" s="793"/>
      <c r="L34" s="793"/>
      <c r="M34" s="793"/>
      <c r="N34" s="793"/>
    </row>
    <row r="35" spans="2:30" s="749" customFormat="1" ht="16.899999999999999" customHeight="1">
      <c r="B35" s="794" t="s">
        <v>72</v>
      </c>
      <c r="C35" s="1539" t="s">
        <v>86</v>
      </c>
      <c r="D35" s="1539"/>
      <c r="E35" s="800">
        <f t="shared" ref="E35:N35" si="11">E22-E28</f>
        <v>-24136</v>
      </c>
      <c r="F35" s="800">
        <f t="shared" si="11"/>
        <v>-50867</v>
      </c>
      <c r="G35" s="800">
        <f t="shared" si="11"/>
        <v>-41938</v>
      </c>
      <c r="H35" s="800">
        <f t="shared" si="11"/>
        <v>-70365</v>
      </c>
      <c r="I35" s="800">
        <f t="shared" si="11"/>
        <v>-52917</v>
      </c>
      <c r="J35" s="800">
        <f t="shared" si="11"/>
        <v>-53256</v>
      </c>
      <c r="K35" s="800">
        <f t="shared" si="11"/>
        <v>-62994</v>
      </c>
      <c r="L35" s="800">
        <f t="shared" si="11"/>
        <v>-62099</v>
      </c>
      <c r="M35" s="800">
        <f t="shared" si="11"/>
        <v>-41919</v>
      </c>
      <c r="N35" s="800">
        <f t="shared" si="11"/>
        <v>-35345</v>
      </c>
    </row>
    <row r="36" spans="2:30" ht="16.899999999999999" customHeight="1">
      <c r="B36" s="796" t="s">
        <v>87</v>
      </c>
      <c r="C36" s="797" t="s">
        <v>88</v>
      </c>
      <c r="D36" s="797"/>
      <c r="E36" s="801"/>
      <c r="F36" s="799"/>
      <c r="G36" s="799"/>
      <c r="H36" s="799"/>
      <c r="I36" s="799"/>
      <c r="J36" s="799"/>
      <c r="K36" s="799"/>
      <c r="L36" s="799"/>
      <c r="M36" s="799"/>
      <c r="N36" s="799"/>
    </row>
    <row r="37" spans="2:30" ht="15" customHeight="1">
      <c r="B37" s="781" t="s">
        <v>34</v>
      </c>
      <c r="C37" s="1537" t="s">
        <v>76</v>
      </c>
      <c r="D37" s="1537"/>
      <c r="E37" s="790">
        <f t="shared" ref="E37:K37" si="12">E39+E40+E41+E42</f>
        <v>11010</v>
      </c>
      <c r="F37" s="790">
        <f t="shared" si="12"/>
        <v>29785</v>
      </c>
      <c r="G37" s="790">
        <f>G39+G40+G41+G42</f>
        <v>27724</v>
      </c>
      <c r="H37" s="790">
        <f>H39+H40+H41+H42</f>
        <v>46763</v>
      </c>
      <c r="I37" s="790">
        <f>I39+I40+I41+I42</f>
        <v>20785</v>
      </c>
      <c r="J37" s="790">
        <f t="shared" si="12"/>
        <v>20043</v>
      </c>
      <c r="K37" s="790">
        <f t="shared" si="12"/>
        <v>39526</v>
      </c>
      <c r="L37" s="790">
        <f t="shared" ref="L37:N37" si="13">L39+L40+L41+L42</f>
        <v>43898</v>
      </c>
      <c r="M37" s="790">
        <f t="shared" si="13"/>
        <v>15564</v>
      </c>
      <c r="N37" s="790">
        <f t="shared" si="13"/>
        <v>12800</v>
      </c>
    </row>
    <row r="38" spans="2:30" ht="15" customHeight="1">
      <c r="B38" s="781"/>
      <c r="C38" s="780" t="s">
        <v>38</v>
      </c>
      <c r="D38" s="789" t="s">
        <v>89</v>
      </c>
      <c r="E38" s="789"/>
      <c r="F38" s="790"/>
      <c r="G38" s="790"/>
      <c r="H38" s="790"/>
      <c r="I38" s="790"/>
      <c r="J38" s="790"/>
      <c r="K38" s="790"/>
      <c r="L38" s="790"/>
      <c r="M38" s="790"/>
      <c r="N38" s="790"/>
    </row>
    <row r="39" spans="2:30" ht="15" customHeight="1">
      <c r="B39" s="781"/>
      <c r="C39" s="780"/>
      <c r="D39" s="789" t="s">
        <v>90</v>
      </c>
      <c r="E39" s="789"/>
      <c r="F39" s="790"/>
      <c r="G39" s="790"/>
      <c r="H39" s="790"/>
      <c r="I39" s="790"/>
      <c r="J39" s="790"/>
      <c r="K39" s="790"/>
      <c r="L39" s="790"/>
      <c r="M39" s="790"/>
      <c r="N39" s="790"/>
      <c r="Q39" s="783">
        <v>2020</v>
      </c>
      <c r="R39" s="783">
        <v>2021</v>
      </c>
    </row>
    <row r="40" spans="2:30" ht="15" customHeight="1">
      <c r="B40" s="781"/>
      <c r="C40" s="780" t="s">
        <v>40</v>
      </c>
      <c r="D40" s="789" t="s">
        <v>1002</v>
      </c>
      <c r="E40" s="790">
        <v>4896</v>
      </c>
      <c r="F40" s="790">
        <v>15928</v>
      </c>
      <c r="G40" s="790">
        <v>9990</v>
      </c>
      <c r="H40" s="1215">
        <v>15467</v>
      </c>
      <c r="I40" s="790">
        <v>16086</v>
      </c>
      <c r="J40" s="790">
        <f>pożyczki.dotacje!H37</f>
        <v>11363</v>
      </c>
      <c r="K40" s="790">
        <f>pożyczki.dotacje!I37</f>
        <v>12100</v>
      </c>
      <c r="L40" s="790">
        <f>pożyczki.dotacje!J37</f>
        <v>13100</v>
      </c>
      <c r="M40" s="790">
        <f>pożyczki.dotacje!K37</f>
        <v>7200</v>
      </c>
      <c r="N40" s="790">
        <f>pożyczki.dotacje!L37</f>
        <v>12800</v>
      </c>
      <c r="P40" s="783">
        <f>1836541.49/1000</f>
        <v>1836.5414900000001</v>
      </c>
      <c r="Q40" s="813">
        <f>H40-P40</f>
        <v>13630</v>
      </c>
      <c r="R40" s="813">
        <f>I40-P41</f>
        <v>13935</v>
      </c>
    </row>
    <row r="41" spans="2:30" ht="15" customHeight="1">
      <c r="B41" s="781"/>
      <c r="C41" s="780" t="s">
        <v>42</v>
      </c>
      <c r="D41" s="789" t="s">
        <v>91</v>
      </c>
      <c r="E41" s="789"/>
      <c r="F41" s="790"/>
      <c r="G41" s="790"/>
      <c r="H41" s="790"/>
      <c r="I41" s="790"/>
      <c r="J41" s="790"/>
      <c r="K41" s="790"/>
      <c r="L41" s="790"/>
      <c r="M41" s="790"/>
      <c r="N41" s="790"/>
      <c r="P41" s="783">
        <f>2151096.38/1000</f>
        <v>2151.09638</v>
      </c>
    </row>
    <row r="42" spans="2:30" ht="15" customHeight="1">
      <c r="B42" s="781"/>
      <c r="C42" s="780" t="s">
        <v>44</v>
      </c>
      <c r="D42" s="789" t="s">
        <v>92</v>
      </c>
      <c r="E42" s="790">
        <v>6114</v>
      </c>
      <c r="F42" s="1012">
        <v>13857</v>
      </c>
      <c r="G42" s="1012">
        <v>17734</v>
      </c>
      <c r="H42" s="1215">
        <v>31296</v>
      </c>
      <c r="I42" s="790">
        <v>4699</v>
      </c>
      <c r="J42" s="790">
        <f>SUM(pożyczki.dotacje!H42:H52)</f>
        <v>8680</v>
      </c>
      <c r="K42" s="790">
        <f>SUM(pożyczki.dotacje!I42:I52)</f>
        <v>27426</v>
      </c>
      <c r="L42" s="790">
        <f>SUM(pożyczki.dotacje!J42:J52)</f>
        <v>30798</v>
      </c>
      <c r="M42" s="790">
        <f>SUM(pożyczki.dotacje!K42:K52)</f>
        <v>8364</v>
      </c>
      <c r="N42" s="790">
        <f>SUM(pożyczki.dotacje!L42:L52)</f>
        <v>0</v>
      </c>
      <c r="P42" s="783">
        <f>2889330.64/1000</f>
        <v>2889.3306400000001</v>
      </c>
      <c r="Q42" s="813">
        <f>H42</f>
        <v>31296</v>
      </c>
      <c r="R42" s="813">
        <f>I42-P42</f>
        <v>1810</v>
      </c>
    </row>
    <row r="43" spans="2:30" ht="15" customHeight="1">
      <c r="B43" s="781" t="s">
        <v>36</v>
      </c>
      <c r="C43" s="1537" t="s">
        <v>82</v>
      </c>
      <c r="D43" s="1537"/>
      <c r="E43" s="790">
        <f>E44+E45+E46+E47+E48+E49+E50+E51+E52</f>
        <v>14710</v>
      </c>
      <c r="F43" s="790">
        <f t="shared" ref="F43:J43" si="14">F44+F45+F46+F47+F48+F49+F50+F51+F52</f>
        <v>14541</v>
      </c>
      <c r="G43" s="790">
        <f>G44+G45+G46+G47+G48+G49+G50+G51+G52</f>
        <v>13100</v>
      </c>
      <c r="H43" s="790">
        <f>H44+H45+H46+H47+H48+H49+H50+H51+H52</f>
        <v>8644</v>
      </c>
      <c r="I43" s="790">
        <f t="shared" si="14"/>
        <v>4508</v>
      </c>
      <c r="J43" s="790">
        <f t="shared" si="14"/>
        <v>7064</v>
      </c>
      <c r="K43" s="790">
        <f>K44+K45+K46+K47+K48+K49+K50+K51+K52</f>
        <v>8599</v>
      </c>
      <c r="L43" s="790">
        <f t="shared" ref="L43" si="15">L44+L45+L46+L47+L48+L49+L50+L51+L52</f>
        <v>12544</v>
      </c>
      <c r="M43" s="790">
        <f>M44+M45+M46+M47+M48+M49+M50+M51+M52</f>
        <v>8637</v>
      </c>
      <c r="N43" s="790">
        <f>N44+N45+N46+N47+N48+N49+N50+N51+N52</f>
        <v>8873</v>
      </c>
    </row>
    <row r="44" spans="2:30" ht="15" customHeight="1">
      <c r="B44" s="781"/>
      <c r="C44" s="780" t="s">
        <v>38</v>
      </c>
      <c r="D44" s="789" t="s">
        <v>93</v>
      </c>
      <c r="E44" s="789"/>
      <c r="F44" s="790"/>
      <c r="G44" s="790"/>
      <c r="H44" s="790"/>
      <c r="I44" s="790"/>
      <c r="J44" s="790"/>
      <c r="K44" s="790"/>
      <c r="L44" s="790"/>
      <c r="M44" s="790"/>
      <c r="N44" s="790"/>
    </row>
    <row r="45" spans="2:30" ht="15" customHeight="1">
      <c r="B45" s="781"/>
      <c r="C45" s="780" t="s">
        <v>40</v>
      </c>
      <c r="D45" s="789" t="s">
        <v>94</v>
      </c>
      <c r="E45" s="789"/>
      <c r="F45" s="790"/>
      <c r="G45" s="790"/>
      <c r="H45" s="790">
        <v>2000</v>
      </c>
      <c r="I45" s="790">
        <v>1500</v>
      </c>
      <c r="J45" s="790"/>
      <c r="K45" s="790"/>
      <c r="L45" s="790"/>
      <c r="M45" s="790"/>
      <c r="N45" s="790"/>
    </row>
    <row r="46" spans="2:30" ht="15" customHeight="1">
      <c r="B46" s="781"/>
      <c r="C46" s="780" t="s">
        <v>42</v>
      </c>
      <c r="D46" s="789" t="s">
        <v>95</v>
      </c>
      <c r="E46" s="789"/>
      <c r="F46" s="790"/>
      <c r="G46" s="790"/>
      <c r="H46" s="790"/>
      <c r="I46" s="790"/>
      <c r="J46" s="790"/>
      <c r="K46" s="790"/>
      <c r="L46" s="790"/>
      <c r="M46" s="790"/>
      <c r="N46" s="790"/>
    </row>
    <row r="47" spans="2:30" ht="15" customHeight="1">
      <c r="B47" s="781"/>
      <c r="C47" s="780" t="s">
        <v>44</v>
      </c>
      <c r="D47" s="789" t="s">
        <v>96</v>
      </c>
      <c r="E47" s="790">
        <v>14512</v>
      </c>
      <c r="F47" s="790">
        <v>14181</v>
      </c>
      <c r="G47" s="790">
        <v>11634</v>
      </c>
      <c r="H47" s="790">
        <v>6044</v>
      </c>
      <c r="I47" s="790">
        <f>pożyczki.dotacje!G38+pożyczki.dotacje!G54</f>
        <v>2480</v>
      </c>
      <c r="J47" s="790">
        <f>pożyczki.dotacje!H38+pożyczki.dotacje!H54</f>
        <v>5966</v>
      </c>
      <c r="K47" s="790">
        <f>pożyczki.dotacje!I38+pożyczki.dotacje!I54</f>
        <v>7316</v>
      </c>
      <c r="L47" s="790">
        <f>pożyczki.dotacje!J38+pożyczki.dotacje!J54</f>
        <v>11316</v>
      </c>
      <c r="M47" s="790">
        <f>pożyczki.dotacje!K38+pożyczki.dotacje!K54</f>
        <v>7316</v>
      </c>
      <c r="N47" s="790">
        <f>pożyczki.dotacje!L38+pożyczki.dotacje!L54</f>
        <v>7316</v>
      </c>
    </row>
    <row r="48" spans="2:30" ht="15" customHeight="1">
      <c r="B48" s="781"/>
      <c r="C48" s="780" t="s">
        <v>46</v>
      </c>
      <c r="D48" s="789" t="s">
        <v>97</v>
      </c>
      <c r="E48" s="789"/>
      <c r="F48" s="790"/>
      <c r="G48" s="790"/>
      <c r="H48" s="790"/>
      <c r="I48" s="790"/>
      <c r="J48" s="790"/>
      <c r="K48" s="790"/>
      <c r="L48" s="790"/>
      <c r="M48" s="790"/>
      <c r="N48" s="790"/>
    </row>
    <row r="49" spans="2:32" ht="15" customHeight="1">
      <c r="B49" s="781"/>
      <c r="C49" s="780" t="s">
        <v>48</v>
      </c>
      <c r="D49" s="789" t="s">
        <v>98</v>
      </c>
      <c r="E49" s="789"/>
      <c r="F49" s="790"/>
      <c r="G49" s="790"/>
      <c r="H49" s="790"/>
      <c r="I49" s="790"/>
      <c r="J49" s="790"/>
      <c r="K49" s="790"/>
      <c r="L49" s="790"/>
      <c r="M49" s="790"/>
      <c r="N49" s="790"/>
    </row>
    <row r="50" spans="2:32" ht="15" customHeight="1">
      <c r="B50" s="781"/>
      <c r="C50" s="780" t="s">
        <v>50</v>
      </c>
      <c r="D50" s="789" t="s">
        <v>99</v>
      </c>
      <c r="E50" s="789"/>
      <c r="F50" s="790"/>
      <c r="G50" s="790"/>
      <c r="H50" s="790"/>
      <c r="I50" s="790"/>
      <c r="J50" s="790"/>
      <c r="K50" s="790"/>
      <c r="L50" s="790"/>
      <c r="M50" s="790"/>
      <c r="N50" s="790"/>
    </row>
    <row r="51" spans="2:32" ht="15" customHeight="1">
      <c r="B51" s="781"/>
      <c r="C51" s="780" t="s">
        <v>52</v>
      </c>
      <c r="D51" s="789" t="s">
        <v>100</v>
      </c>
      <c r="E51" s="790">
        <f>E11</f>
        <v>198</v>
      </c>
      <c r="F51" s="790">
        <f>F11</f>
        <v>360</v>
      </c>
      <c r="G51" s="790">
        <f>G11</f>
        <v>760</v>
      </c>
      <c r="H51" s="790">
        <v>600</v>
      </c>
      <c r="I51" s="790">
        <f t="shared" ref="I51:N51" si="16">I11</f>
        <v>528</v>
      </c>
      <c r="J51" s="790">
        <f t="shared" si="16"/>
        <v>1098</v>
      </c>
      <c r="K51" s="790">
        <f t="shared" si="16"/>
        <v>1283</v>
      </c>
      <c r="L51" s="790">
        <f t="shared" si="16"/>
        <v>1228</v>
      </c>
      <c r="M51" s="790">
        <f t="shared" si="16"/>
        <v>1321</v>
      </c>
      <c r="N51" s="790">
        <f t="shared" si="16"/>
        <v>1557</v>
      </c>
    </row>
    <row r="52" spans="2:32" ht="15" customHeight="1">
      <c r="B52" s="815"/>
      <c r="C52" s="802" t="s">
        <v>68</v>
      </c>
      <c r="D52" s="803" t="s">
        <v>101</v>
      </c>
      <c r="E52" s="803"/>
      <c r="F52" s="804"/>
      <c r="G52" s="804">
        <v>706</v>
      </c>
      <c r="H52" s="804"/>
      <c r="I52" s="804"/>
      <c r="J52" s="804"/>
      <c r="K52" s="804"/>
      <c r="L52" s="804"/>
      <c r="M52" s="804"/>
      <c r="N52" s="804"/>
    </row>
    <row r="53" spans="2:32" s="749" customFormat="1" ht="16.899999999999999" customHeight="1">
      <c r="B53" s="794" t="s">
        <v>72</v>
      </c>
      <c r="C53" s="1539" t="s">
        <v>102</v>
      </c>
      <c r="D53" s="1539"/>
      <c r="E53" s="800">
        <f>E37-E43</f>
        <v>-3700</v>
      </c>
      <c r="F53" s="800">
        <f>F37-F43</f>
        <v>15244</v>
      </c>
      <c r="G53" s="800">
        <f>G37-G43</f>
        <v>14624</v>
      </c>
      <c r="H53" s="800">
        <f t="shared" ref="H53:J53" si="17">H37-H43</f>
        <v>38119</v>
      </c>
      <c r="I53" s="800">
        <f t="shared" si="17"/>
        <v>16277</v>
      </c>
      <c r="J53" s="800">
        <f t="shared" si="17"/>
        <v>12979</v>
      </c>
      <c r="K53" s="800">
        <f>K37-K43</f>
        <v>30927</v>
      </c>
      <c r="L53" s="800">
        <f t="shared" ref="L53:M53" si="18">L37-L43</f>
        <v>31354</v>
      </c>
      <c r="M53" s="800">
        <f t="shared" si="18"/>
        <v>6927</v>
      </c>
      <c r="N53" s="800">
        <f>N37-N43</f>
        <v>3927</v>
      </c>
    </row>
    <row r="54" spans="2:32" s="749" customFormat="1" ht="16.899999999999999" customHeight="1">
      <c r="B54" s="976" t="s">
        <v>103</v>
      </c>
      <c r="C54" s="1539" t="s">
        <v>104</v>
      </c>
      <c r="D54" s="1539"/>
      <c r="E54" s="795">
        <f t="shared" ref="E54:M54" si="19">E20+E35+E53</f>
        <v>914</v>
      </c>
      <c r="F54" s="795">
        <f t="shared" si="19"/>
        <v>-2850</v>
      </c>
      <c r="G54" s="795">
        <f t="shared" si="19"/>
        <v>4618</v>
      </c>
      <c r="H54" s="795">
        <f t="shared" si="19"/>
        <v>-5905</v>
      </c>
      <c r="I54" s="795">
        <f t="shared" si="19"/>
        <v>1916</v>
      </c>
      <c r="J54" s="795">
        <f t="shared" si="19"/>
        <v>-8010</v>
      </c>
      <c r="K54" s="795">
        <f t="shared" si="19"/>
        <v>1459</v>
      </c>
      <c r="L54" s="795">
        <f t="shared" si="19"/>
        <v>5716</v>
      </c>
      <c r="M54" s="795">
        <f t="shared" si="19"/>
        <v>517</v>
      </c>
      <c r="N54" s="795">
        <f>N20+N35+N53</f>
        <v>2466</v>
      </c>
    </row>
    <row r="55" spans="2:32" s="749" customFormat="1" ht="16.899999999999999" customHeight="1">
      <c r="B55" s="976" t="s">
        <v>105</v>
      </c>
      <c r="C55" s="1539" t="s">
        <v>106</v>
      </c>
      <c r="D55" s="1539"/>
      <c r="E55" s="795">
        <f t="shared" ref="E55:J55" si="20">E57-E56</f>
        <v>914</v>
      </c>
      <c r="F55" s="795">
        <f>F57-F56</f>
        <v>-2850</v>
      </c>
      <c r="G55" s="795">
        <f>G57-G56</f>
        <v>4618</v>
      </c>
      <c r="H55" s="795">
        <f t="shared" si="20"/>
        <v>-5905</v>
      </c>
      <c r="I55" s="795">
        <f t="shared" si="20"/>
        <v>1916</v>
      </c>
      <c r="J55" s="795">
        <f t="shared" si="20"/>
        <v>-8010</v>
      </c>
      <c r="K55" s="795">
        <f>K57-K56</f>
        <v>1459</v>
      </c>
      <c r="L55" s="795">
        <f t="shared" ref="L55:N55" si="21">L57-L56</f>
        <v>5716</v>
      </c>
      <c r="M55" s="795">
        <f t="shared" si="21"/>
        <v>517</v>
      </c>
      <c r="N55" s="795">
        <f t="shared" si="21"/>
        <v>2466</v>
      </c>
    </row>
    <row r="56" spans="2:32" ht="16.899999999999999" customHeight="1" thickBot="1">
      <c r="B56" s="805" t="s">
        <v>107</v>
      </c>
      <c r="C56" s="1543" t="s">
        <v>116</v>
      </c>
      <c r="D56" s="1543"/>
      <c r="E56" s="806">
        <v>10907</v>
      </c>
      <c r="F56" s="806">
        <f>E57</f>
        <v>11821</v>
      </c>
      <c r="G56" s="806">
        <f>F57</f>
        <v>8971</v>
      </c>
      <c r="H56" s="806">
        <f t="shared" ref="H56:N56" si="22">G57</f>
        <v>13589</v>
      </c>
      <c r="I56" s="806">
        <f t="shared" si="22"/>
        <v>7684</v>
      </c>
      <c r="J56" s="806">
        <f>I57</f>
        <v>9600</v>
      </c>
      <c r="K56" s="806">
        <f t="shared" si="22"/>
        <v>1590</v>
      </c>
      <c r="L56" s="806">
        <f t="shared" si="22"/>
        <v>3049</v>
      </c>
      <c r="M56" s="806">
        <f t="shared" si="22"/>
        <v>8765</v>
      </c>
      <c r="N56" s="806">
        <f t="shared" si="22"/>
        <v>9282</v>
      </c>
    </row>
    <row r="57" spans="2:32" s="749" customFormat="1" ht="16.899999999999999" customHeight="1" thickTop="1">
      <c r="B57" s="807" t="s">
        <v>117</v>
      </c>
      <c r="C57" s="1542" t="s">
        <v>787</v>
      </c>
      <c r="D57" s="1542"/>
      <c r="E57" s="808">
        <f>E56+E54</f>
        <v>11821</v>
      </c>
      <c r="F57" s="808">
        <f>F56+F54</f>
        <v>8971</v>
      </c>
      <c r="G57" s="808">
        <f>G56+G54</f>
        <v>13589</v>
      </c>
      <c r="H57" s="808">
        <f t="shared" ref="H57:K57" si="23">H56+H54</f>
        <v>7684</v>
      </c>
      <c r="I57" s="808">
        <f t="shared" si="23"/>
        <v>9600</v>
      </c>
      <c r="J57" s="808">
        <f>J56+J54</f>
        <v>1590</v>
      </c>
      <c r="K57" s="808">
        <f t="shared" si="23"/>
        <v>3049</v>
      </c>
      <c r="L57" s="808">
        <f t="shared" ref="L57:N57" si="24">L56+L54</f>
        <v>8765</v>
      </c>
      <c r="M57" s="808">
        <f t="shared" si="24"/>
        <v>9282</v>
      </c>
      <c r="N57" s="808">
        <f t="shared" si="24"/>
        <v>11748</v>
      </c>
    </row>
    <row r="58" spans="2:32" s="810" customFormat="1" ht="6.75" customHeight="1">
      <c r="B58" s="809"/>
      <c r="D58" s="811"/>
      <c r="E58" s="811"/>
      <c r="F58" s="811"/>
      <c r="G58" s="811"/>
      <c r="H58" s="811"/>
      <c r="I58" s="811"/>
      <c r="J58" s="811"/>
    </row>
    <row r="59" spans="2:32" ht="181.5" customHeight="1">
      <c r="B59" s="985" t="s">
        <v>706</v>
      </c>
      <c r="C59" s="1540" t="s">
        <v>786</v>
      </c>
      <c r="D59" s="1540"/>
      <c r="E59" s="876"/>
      <c r="F59" s="1117"/>
      <c r="G59" s="1117"/>
      <c r="H59" s="1117"/>
      <c r="I59" s="1117"/>
      <c r="J59" s="1117"/>
      <c r="K59" s="1117"/>
      <c r="L59" s="1117"/>
      <c r="M59" s="1117"/>
      <c r="AB59" s="812"/>
      <c r="AC59" s="879">
        <v>1350</v>
      </c>
      <c r="AD59" s="879">
        <v>1300</v>
      </c>
      <c r="AE59" s="880"/>
      <c r="AF59" s="880"/>
    </row>
    <row r="60" spans="2:32" ht="174" customHeight="1">
      <c r="E60" s="813"/>
      <c r="F60" s="813"/>
      <c r="G60" s="813"/>
      <c r="H60" s="813"/>
      <c r="I60" s="813"/>
      <c r="J60" s="813"/>
    </row>
    <row r="61" spans="2:32" ht="15" customHeight="1">
      <c r="E61" s="813"/>
      <c r="F61" s="813"/>
      <c r="G61" s="813"/>
      <c r="H61" s="813"/>
      <c r="I61" s="813"/>
      <c r="J61" s="813"/>
    </row>
    <row r="62" spans="2:32" ht="15" customHeight="1">
      <c r="E62" s="813"/>
      <c r="F62" s="813"/>
      <c r="G62" s="813"/>
      <c r="H62" s="813"/>
      <c r="I62" s="813"/>
      <c r="J62" s="813"/>
    </row>
    <row r="63" spans="2:32" ht="15" customHeight="1">
      <c r="E63" s="813"/>
      <c r="F63" s="813"/>
      <c r="G63" s="813"/>
      <c r="H63" s="813"/>
      <c r="I63" s="813"/>
      <c r="J63" s="813"/>
    </row>
    <row r="64" spans="2:32" ht="15" customHeight="1">
      <c r="E64" s="813"/>
      <c r="F64" s="813"/>
      <c r="G64" s="813"/>
      <c r="H64" s="813"/>
      <c r="I64" s="813"/>
      <c r="J64" s="813"/>
    </row>
    <row r="65" spans="5:10" ht="15" customHeight="1">
      <c r="E65" s="813"/>
      <c r="F65" s="813"/>
      <c r="G65" s="813"/>
      <c r="H65" s="813"/>
      <c r="I65" s="813"/>
      <c r="J65" s="813"/>
    </row>
    <row r="66" spans="5:10" ht="15" customHeight="1">
      <c r="E66" s="813"/>
      <c r="F66" s="813"/>
      <c r="G66" s="813"/>
      <c r="H66" s="813"/>
      <c r="I66" s="813"/>
      <c r="J66" s="813"/>
    </row>
    <row r="67" spans="5:10" ht="15" customHeight="1">
      <c r="E67" s="813"/>
      <c r="F67" s="813"/>
      <c r="G67" s="813"/>
      <c r="H67" s="813"/>
      <c r="I67" s="813"/>
      <c r="J67" s="813"/>
    </row>
    <row r="68" spans="5:10" ht="15" customHeight="1">
      <c r="E68" s="813"/>
      <c r="F68" s="813"/>
      <c r="G68" s="813"/>
      <c r="H68" s="813"/>
      <c r="I68" s="813"/>
      <c r="J68" s="813"/>
    </row>
    <row r="69" spans="5:10" ht="15" customHeight="1">
      <c r="E69" s="813"/>
      <c r="F69" s="813"/>
      <c r="G69" s="813"/>
      <c r="H69" s="813"/>
      <c r="I69" s="813"/>
      <c r="J69" s="813"/>
    </row>
    <row r="70" spans="5:10" ht="15" customHeight="1">
      <c r="E70" s="813"/>
      <c r="F70" s="813"/>
      <c r="G70" s="813"/>
      <c r="H70" s="813"/>
      <c r="I70" s="813"/>
      <c r="J70" s="813"/>
    </row>
    <row r="71" spans="5:10" ht="15" customHeight="1">
      <c r="E71" s="813"/>
      <c r="F71" s="813"/>
      <c r="G71" s="813"/>
      <c r="H71" s="813"/>
      <c r="I71" s="813"/>
      <c r="J71" s="813"/>
    </row>
    <row r="72" spans="5:10" ht="15" customHeight="1">
      <c r="E72" s="813"/>
      <c r="F72" s="813"/>
      <c r="G72" s="813"/>
      <c r="H72" s="813"/>
      <c r="I72" s="813"/>
      <c r="J72" s="813"/>
    </row>
    <row r="73" spans="5:10" ht="15" customHeight="1">
      <c r="E73" s="813"/>
      <c r="F73" s="813"/>
      <c r="G73" s="813"/>
      <c r="H73" s="813"/>
      <c r="I73" s="813"/>
      <c r="J73" s="813"/>
    </row>
    <row r="74" spans="5:10" ht="15" customHeight="1">
      <c r="E74" s="813"/>
      <c r="F74" s="813"/>
      <c r="G74" s="813"/>
      <c r="H74" s="813"/>
      <c r="I74" s="813"/>
      <c r="J74" s="813"/>
    </row>
    <row r="75" spans="5:10" ht="15" customHeight="1">
      <c r="E75" s="813"/>
      <c r="F75" s="813"/>
      <c r="G75" s="813"/>
      <c r="H75" s="813"/>
      <c r="I75" s="813"/>
      <c r="J75" s="813"/>
    </row>
    <row r="76" spans="5:10" ht="15" customHeight="1">
      <c r="E76" s="813"/>
      <c r="F76" s="813"/>
      <c r="G76" s="813"/>
      <c r="H76" s="813"/>
      <c r="I76" s="813"/>
      <c r="J76" s="813"/>
    </row>
    <row r="77" spans="5:10" ht="15" customHeight="1">
      <c r="E77" s="813"/>
      <c r="F77" s="813"/>
      <c r="G77" s="813"/>
      <c r="H77" s="813"/>
      <c r="I77" s="813"/>
      <c r="J77" s="813"/>
    </row>
    <row r="78" spans="5:10">
      <c r="E78" s="813"/>
      <c r="F78" s="813"/>
      <c r="G78" s="813"/>
      <c r="H78" s="813"/>
      <c r="I78" s="813"/>
      <c r="J78" s="813"/>
    </row>
    <row r="79" spans="5:10">
      <c r="E79" s="813"/>
      <c r="F79" s="813"/>
      <c r="G79" s="813"/>
      <c r="H79" s="813"/>
      <c r="I79" s="813"/>
      <c r="J79" s="813"/>
    </row>
    <row r="80" spans="5:10">
      <c r="E80" s="813"/>
      <c r="F80" s="813"/>
      <c r="G80" s="813"/>
      <c r="H80" s="813"/>
      <c r="I80" s="813"/>
      <c r="J80" s="813"/>
    </row>
    <row r="81" spans="5:10">
      <c r="E81" s="813"/>
      <c r="F81" s="813"/>
      <c r="G81" s="813"/>
      <c r="H81" s="813"/>
      <c r="I81" s="813"/>
      <c r="J81" s="813"/>
    </row>
    <row r="82" spans="5:10">
      <c r="E82" s="813"/>
      <c r="F82" s="813"/>
      <c r="G82" s="813"/>
      <c r="H82" s="813"/>
      <c r="I82" s="813"/>
      <c r="J82" s="813"/>
    </row>
    <row r="83" spans="5:10">
      <c r="E83" s="813"/>
      <c r="F83" s="813"/>
      <c r="G83" s="813"/>
      <c r="H83" s="813"/>
      <c r="I83" s="813"/>
      <c r="J83" s="813"/>
    </row>
    <row r="84" spans="5:10">
      <c r="E84" s="813"/>
      <c r="F84" s="813"/>
      <c r="G84" s="813"/>
      <c r="H84" s="813"/>
      <c r="I84" s="813"/>
      <c r="J84" s="813"/>
    </row>
    <row r="85" spans="5:10">
      <c r="E85" s="813"/>
      <c r="F85" s="813"/>
      <c r="G85" s="813"/>
      <c r="H85" s="813"/>
      <c r="I85" s="813"/>
      <c r="J85" s="813"/>
    </row>
    <row r="86" spans="5:10">
      <c r="E86" s="813"/>
      <c r="F86" s="813"/>
      <c r="G86" s="813"/>
      <c r="H86" s="813"/>
      <c r="I86" s="813"/>
      <c r="J86" s="813"/>
    </row>
    <row r="87" spans="5:10">
      <c r="E87" s="813"/>
      <c r="F87" s="813"/>
      <c r="G87" s="813"/>
      <c r="H87" s="813"/>
      <c r="I87" s="813"/>
      <c r="J87" s="813"/>
    </row>
    <row r="88" spans="5:10">
      <c r="E88" s="813"/>
      <c r="F88" s="813"/>
      <c r="G88" s="813"/>
      <c r="H88" s="813"/>
      <c r="I88" s="813"/>
      <c r="J88" s="813"/>
    </row>
    <row r="89" spans="5:10">
      <c r="E89" s="813"/>
      <c r="F89" s="813"/>
      <c r="G89" s="813"/>
      <c r="H89" s="813"/>
      <c r="I89" s="813"/>
      <c r="J89" s="813"/>
    </row>
    <row r="90" spans="5:10">
      <c r="E90" s="813"/>
      <c r="F90" s="813"/>
      <c r="G90" s="813"/>
      <c r="H90" s="813"/>
      <c r="I90" s="813"/>
      <c r="J90" s="813"/>
    </row>
    <row r="91" spans="5:10">
      <c r="E91" s="813"/>
      <c r="F91" s="813"/>
      <c r="G91" s="813"/>
      <c r="H91" s="813"/>
      <c r="I91" s="813"/>
      <c r="J91" s="813"/>
    </row>
    <row r="92" spans="5:10">
      <c r="E92" s="813"/>
      <c r="F92" s="813"/>
      <c r="G92" s="813"/>
      <c r="H92" s="813"/>
      <c r="I92" s="813"/>
      <c r="J92" s="813"/>
    </row>
    <row r="93" spans="5:10">
      <c r="E93" s="813"/>
      <c r="F93" s="813"/>
      <c r="G93" s="813"/>
      <c r="H93" s="813"/>
      <c r="I93" s="813"/>
      <c r="J93" s="813"/>
    </row>
    <row r="94" spans="5:10">
      <c r="E94" s="813"/>
      <c r="F94" s="813"/>
      <c r="G94" s="813"/>
      <c r="H94" s="813"/>
      <c r="I94" s="813"/>
      <c r="J94" s="813"/>
    </row>
    <row r="95" spans="5:10">
      <c r="E95" s="813"/>
      <c r="F95" s="813"/>
      <c r="G95" s="813"/>
      <c r="H95" s="813"/>
      <c r="I95" s="813"/>
      <c r="J95" s="813"/>
    </row>
    <row r="96" spans="5:10">
      <c r="E96" s="813"/>
      <c r="F96" s="813"/>
      <c r="G96" s="813"/>
      <c r="H96" s="813"/>
      <c r="I96" s="813"/>
      <c r="J96" s="813"/>
    </row>
    <row r="97" spans="5:10">
      <c r="E97" s="813"/>
      <c r="F97" s="813"/>
      <c r="G97" s="813"/>
      <c r="H97" s="813"/>
      <c r="I97" s="813"/>
      <c r="J97" s="813"/>
    </row>
    <row r="98" spans="5:10">
      <c r="E98" s="813"/>
      <c r="F98" s="813"/>
      <c r="G98" s="813"/>
      <c r="H98" s="813"/>
      <c r="I98" s="813"/>
      <c r="J98" s="813"/>
    </row>
    <row r="99" spans="5:10">
      <c r="E99" s="813"/>
      <c r="F99" s="813"/>
      <c r="G99" s="813"/>
      <c r="H99" s="813"/>
      <c r="I99" s="813"/>
      <c r="J99" s="813"/>
    </row>
    <row r="100" spans="5:10">
      <c r="E100" s="813"/>
      <c r="F100" s="813"/>
      <c r="G100" s="813"/>
      <c r="H100" s="813"/>
      <c r="I100" s="813"/>
      <c r="J100" s="813"/>
    </row>
    <row r="101" spans="5:10">
      <c r="E101" s="813"/>
      <c r="F101" s="813"/>
      <c r="G101" s="813"/>
      <c r="H101" s="813"/>
      <c r="I101" s="813"/>
      <c r="J101" s="813"/>
    </row>
    <row r="102" spans="5:10">
      <c r="E102" s="813"/>
      <c r="F102" s="813"/>
      <c r="G102" s="813"/>
      <c r="H102" s="813"/>
      <c r="I102" s="813"/>
      <c r="J102" s="813"/>
    </row>
    <row r="103" spans="5:10">
      <c r="E103" s="813"/>
      <c r="F103" s="813"/>
      <c r="G103" s="813"/>
      <c r="H103" s="813"/>
      <c r="I103" s="813"/>
      <c r="J103" s="813"/>
    </row>
    <row r="104" spans="5:10">
      <c r="E104" s="813"/>
      <c r="F104" s="813"/>
      <c r="G104" s="813"/>
      <c r="H104" s="813"/>
      <c r="I104" s="813"/>
      <c r="J104" s="813"/>
    </row>
    <row r="105" spans="5:10">
      <c r="E105" s="813"/>
      <c r="F105" s="813"/>
      <c r="G105" s="813"/>
      <c r="H105" s="813"/>
      <c r="I105" s="813"/>
      <c r="J105" s="813"/>
    </row>
    <row r="106" spans="5:10">
      <c r="E106" s="813"/>
      <c r="F106" s="813"/>
      <c r="G106" s="813"/>
      <c r="H106" s="813"/>
      <c r="I106" s="813"/>
      <c r="J106" s="813"/>
    </row>
    <row r="107" spans="5:10">
      <c r="E107" s="813"/>
      <c r="F107" s="813"/>
      <c r="G107" s="813"/>
      <c r="H107" s="813"/>
      <c r="I107" s="813"/>
      <c r="J107" s="813"/>
    </row>
    <row r="108" spans="5:10">
      <c r="E108" s="813"/>
      <c r="F108" s="813"/>
      <c r="G108" s="813"/>
      <c r="H108" s="813"/>
      <c r="I108" s="813"/>
      <c r="J108" s="813"/>
    </row>
    <row r="109" spans="5:10">
      <c r="E109" s="813"/>
      <c r="F109" s="813"/>
      <c r="G109" s="813"/>
      <c r="H109" s="813"/>
      <c r="I109" s="813"/>
      <c r="J109" s="813"/>
    </row>
    <row r="110" spans="5:10">
      <c r="E110" s="813"/>
      <c r="F110" s="813"/>
      <c r="G110" s="813"/>
      <c r="H110" s="813"/>
      <c r="I110" s="813"/>
      <c r="J110" s="813"/>
    </row>
    <row r="111" spans="5:10">
      <c r="E111" s="813"/>
      <c r="F111" s="813"/>
      <c r="G111" s="813"/>
      <c r="H111" s="813"/>
      <c r="I111" s="813"/>
      <c r="J111" s="813"/>
    </row>
    <row r="112" spans="5:10">
      <c r="E112" s="813"/>
      <c r="F112" s="813"/>
      <c r="G112" s="813"/>
      <c r="H112" s="813"/>
      <c r="I112" s="813"/>
      <c r="J112" s="813"/>
    </row>
    <row r="113" spans="5:10">
      <c r="E113" s="813"/>
      <c r="F113" s="813"/>
      <c r="G113" s="813"/>
      <c r="H113" s="813"/>
      <c r="I113" s="813"/>
      <c r="J113" s="813"/>
    </row>
    <row r="114" spans="5:10">
      <c r="E114" s="813"/>
      <c r="F114" s="813"/>
      <c r="G114" s="813"/>
      <c r="H114" s="813"/>
      <c r="I114" s="813"/>
      <c r="J114" s="813"/>
    </row>
    <row r="115" spans="5:10">
      <c r="E115" s="813"/>
      <c r="F115" s="813"/>
      <c r="G115" s="813"/>
      <c r="H115" s="813"/>
      <c r="I115" s="813"/>
      <c r="J115" s="813"/>
    </row>
    <row r="116" spans="5:10">
      <c r="E116" s="813"/>
      <c r="F116" s="813"/>
      <c r="G116" s="813"/>
      <c r="H116" s="813"/>
      <c r="I116" s="813"/>
      <c r="J116" s="813"/>
    </row>
    <row r="117" spans="5:10">
      <c r="E117" s="813"/>
      <c r="F117" s="813"/>
      <c r="G117" s="813"/>
      <c r="H117" s="813"/>
      <c r="I117" s="813"/>
      <c r="J117" s="813"/>
    </row>
    <row r="118" spans="5:10">
      <c r="E118" s="813"/>
      <c r="F118" s="813"/>
      <c r="G118" s="813"/>
      <c r="H118" s="813"/>
      <c r="I118" s="813"/>
      <c r="J118" s="813"/>
    </row>
    <row r="119" spans="5:10">
      <c r="E119" s="813"/>
      <c r="F119" s="813"/>
      <c r="G119" s="813"/>
      <c r="H119" s="813"/>
      <c r="I119" s="813"/>
      <c r="J119" s="813"/>
    </row>
    <row r="120" spans="5:10">
      <c r="E120" s="813"/>
      <c r="F120" s="813"/>
      <c r="G120" s="813"/>
      <c r="H120" s="813"/>
      <c r="I120" s="813"/>
      <c r="J120" s="813"/>
    </row>
    <row r="121" spans="5:10">
      <c r="E121" s="813"/>
      <c r="F121" s="813"/>
      <c r="G121" s="813"/>
      <c r="H121" s="813"/>
      <c r="I121" s="813"/>
      <c r="J121" s="813"/>
    </row>
    <row r="122" spans="5:10">
      <c r="E122" s="813"/>
      <c r="F122" s="813"/>
      <c r="G122" s="813"/>
      <c r="H122" s="813"/>
      <c r="I122" s="813"/>
      <c r="J122" s="813"/>
    </row>
    <row r="123" spans="5:10">
      <c r="E123" s="813"/>
      <c r="F123" s="813"/>
      <c r="G123" s="813"/>
      <c r="H123" s="813"/>
      <c r="I123" s="813"/>
      <c r="J123" s="813"/>
    </row>
    <row r="124" spans="5:10">
      <c r="E124" s="813"/>
      <c r="F124" s="813"/>
      <c r="G124" s="813"/>
      <c r="H124" s="813"/>
      <c r="I124" s="813"/>
      <c r="J124" s="813"/>
    </row>
    <row r="125" spans="5:10">
      <c r="E125" s="813"/>
      <c r="F125" s="813"/>
      <c r="G125" s="813"/>
      <c r="H125" s="813"/>
      <c r="I125" s="813"/>
      <c r="J125" s="813"/>
    </row>
    <row r="126" spans="5:10">
      <c r="E126" s="813"/>
      <c r="F126" s="813"/>
      <c r="G126" s="813"/>
      <c r="H126" s="813"/>
      <c r="I126" s="813"/>
      <c r="J126" s="813"/>
    </row>
    <row r="127" spans="5:10">
      <c r="E127" s="813"/>
      <c r="F127" s="813"/>
      <c r="G127" s="813"/>
      <c r="H127" s="813"/>
      <c r="I127" s="813"/>
      <c r="J127" s="813"/>
    </row>
    <row r="128" spans="5:10">
      <c r="E128" s="813"/>
      <c r="F128" s="813"/>
      <c r="G128" s="813"/>
      <c r="H128" s="813"/>
      <c r="I128" s="813"/>
      <c r="J128" s="813"/>
    </row>
  </sheetData>
  <mergeCells count="17">
    <mergeCell ref="J3:K3"/>
    <mergeCell ref="B4:D5"/>
    <mergeCell ref="C57:D57"/>
    <mergeCell ref="C53:D53"/>
    <mergeCell ref="C54:D54"/>
    <mergeCell ref="C35:D35"/>
    <mergeCell ref="C55:D55"/>
    <mergeCell ref="C56:D56"/>
    <mergeCell ref="C37:D37"/>
    <mergeCell ref="C43:D43"/>
    <mergeCell ref="C7:D7"/>
    <mergeCell ref="C8:D8"/>
    <mergeCell ref="C28:D28"/>
    <mergeCell ref="E4:N4"/>
    <mergeCell ref="C20:D20"/>
    <mergeCell ref="C22:D22"/>
    <mergeCell ref="C59:D59"/>
  </mergeCells>
  <phoneticPr fontId="6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7" orientation="portrait" r:id="rId1"/>
  <headerFooter alignWithMargins="0"/>
  <rowBreaks count="1" manualBreakCount="1">
    <brk id="34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1"/>
  <sheetViews>
    <sheetView showZeros="0" view="pageBreakPreview" zoomScaleNormal="100" zoomScaleSheetLayoutView="100" workbookViewId="0">
      <selection activeCell="J2" sqref="J2"/>
    </sheetView>
  </sheetViews>
  <sheetFormatPr defaultColWidth="9.140625" defaultRowHeight="12.75" outlineLevelRow="1" outlineLevelCol="1"/>
  <cols>
    <col min="1" max="1" width="4.7109375" style="3" customWidth="1"/>
    <col min="2" max="2" width="13.42578125" style="3" customWidth="1"/>
    <col min="3" max="3" width="28.28515625" style="3" customWidth="1"/>
    <col min="4" max="4" width="23.7109375" style="3" customWidth="1"/>
    <col min="5" max="5" width="11.140625" style="4" customWidth="1"/>
    <col min="6" max="6" width="9.7109375" style="919" hidden="1" customWidth="1" outlineLevel="1"/>
    <col min="7" max="7" width="9.7109375" style="31" hidden="1" customWidth="1" outlineLevel="1"/>
    <col min="8" max="8" width="9.7109375" style="31" customWidth="1" collapsed="1"/>
    <col min="9" max="9" width="9.7109375" style="32" customWidth="1"/>
    <col min="10" max="10" width="9.7109375" style="396" customWidth="1"/>
    <col min="11" max="11" width="9.7109375" style="913" customWidth="1"/>
    <col min="12" max="12" width="9.7109375" style="3" customWidth="1"/>
    <col min="13" max="13" width="15.5703125" style="3" hidden="1" customWidth="1"/>
    <col min="14" max="15" width="0" style="3" hidden="1" customWidth="1"/>
    <col min="16" max="16" width="9.28515625" style="3" hidden="1" customWidth="1"/>
    <col min="17" max="20" width="0" style="3" hidden="1" customWidth="1"/>
    <col min="21" max="16384" width="9.140625" style="3"/>
  </cols>
  <sheetData>
    <row r="1" spans="1:13" s="395" customFormat="1" ht="3.75" customHeight="1">
      <c r="A1" s="394"/>
      <c r="E1" s="396"/>
      <c r="F1" s="919"/>
      <c r="G1" s="396"/>
      <c r="H1" s="396"/>
      <c r="I1" s="397"/>
      <c r="J1" s="398"/>
      <c r="K1" s="911"/>
    </row>
    <row r="2" spans="1:13" s="37" customFormat="1" ht="15.75" customHeight="1">
      <c r="A2" s="1564" t="s">
        <v>1007</v>
      </c>
      <c r="B2" s="1564"/>
      <c r="C2" s="1564"/>
      <c r="D2" s="1564"/>
      <c r="E2" s="1564"/>
      <c r="F2" s="1564"/>
      <c r="G2" s="1564"/>
      <c r="H2" s="1564"/>
      <c r="I2" s="1564"/>
      <c r="J2" s="665"/>
      <c r="K2" s="912"/>
    </row>
    <row r="3" spans="1:13" s="5" customFormat="1" ht="12.75" customHeight="1">
      <c r="A3" s="1565" t="s">
        <v>1005</v>
      </c>
      <c r="B3" s="1565"/>
      <c r="C3" s="1565"/>
      <c r="D3" s="1565"/>
      <c r="E3" s="1565"/>
      <c r="F3" s="1565"/>
      <c r="G3" s="1565"/>
      <c r="H3" s="1565"/>
      <c r="I3" s="1565"/>
      <c r="J3" s="1565"/>
      <c r="K3" s="1565"/>
      <c r="L3" s="1565"/>
    </row>
    <row r="4" spans="1:13" ht="15.75" customHeight="1">
      <c r="A4" s="1566"/>
      <c r="B4" s="1566"/>
      <c r="C4" s="1566"/>
      <c r="D4" s="1566"/>
      <c r="E4" s="1566"/>
      <c r="F4" s="1566"/>
      <c r="G4" s="1566"/>
      <c r="H4" s="1566"/>
      <c r="I4" s="1566"/>
      <c r="J4" s="1566"/>
      <c r="K4" s="1566"/>
      <c r="L4" s="1566"/>
    </row>
    <row r="5" spans="1:13" ht="20.25" customHeight="1">
      <c r="A5" s="1552" t="s">
        <v>13</v>
      </c>
      <c r="B5" s="1552" t="s">
        <v>16</v>
      </c>
      <c r="C5" s="1552"/>
      <c r="D5" s="1552"/>
      <c r="E5" s="1567" t="s">
        <v>112</v>
      </c>
      <c r="F5" s="1568"/>
      <c r="G5" s="1568"/>
      <c r="H5" s="1568"/>
      <c r="I5" s="1568"/>
      <c r="J5" s="1568"/>
      <c r="K5" s="1568"/>
      <c r="L5" s="1569"/>
    </row>
    <row r="6" spans="1:13" ht="30" customHeight="1">
      <c r="A6" s="1552"/>
      <c r="B6" s="1552"/>
      <c r="C6" s="1552"/>
      <c r="D6" s="1552"/>
      <c r="E6" s="1214" t="s">
        <v>848</v>
      </c>
      <c r="F6" s="920">
        <v>2020</v>
      </c>
      <c r="G6" s="1223">
        <v>2021</v>
      </c>
      <c r="H6" s="351">
        <v>2022</v>
      </c>
      <c r="I6" s="351">
        <v>2023</v>
      </c>
      <c r="J6" s="723">
        <v>2024</v>
      </c>
      <c r="K6" s="909">
        <v>2025</v>
      </c>
      <c r="L6" s="723">
        <v>2026</v>
      </c>
    </row>
    <row r="7" spans="1:13" s="4" customFormat="1" ht="16.5" customHeight="1">
      <c r="A7" s="435" t="s">
        <v>18</v>
      </c>
      <c r="B7" s="1552">
        <v>1</v>
      </c>
      <c r="C7" s="1552"/>
      <c r="D7" s="1552"/>
      <c r="E7" s="435">
        <v>2</v>
      </c>
      <c r="F7" s="921">
        <v>3</v>
      </c>
      <c r="G7" s="1224">
        <v>4</v>
      </c>
      <c r="H7" s="133">
        <v>3</v>
      </c>
      <c r="I7" s="133">
        <v>4</v>
      </c>
      <c r="J7" s="668">
        <v>5</v>
      </c>
      <c r="K7" s="909">
        <v>6</v>
      </c>
      <c r="L7" s="668">
        <v>7</v>
      </c>
    </row>
    <row r="8" spans="1:13" ht="20.100000000000001" customHeight="1">
      <c r="A8" s="1552">
        <v>1</v>
      </c>
      <c r="B8" s="1553" t="s">
        <v>306</v>
      </c>
      <c r="C8" s="1562" t="s">
        <v>476</v>
      </c>
      <c r="D8" s="659" t="s">
        <v>19</v>
      </c>
      <c r="E8" s="352">
        <f>H8+I8+J8+K8+L8</f>
        <v>55192</v>
      </c>
      <c r="F8" s="922">
        <v>9985</v>
      </c>
      <c r="G8" s="960">
        <f>'T1 wodociag 2022-2026'!F90</f>
        <v>7593</v>
      </c>
      <c r="H8" s="239">
        <f>'T1 wodociag 2022-2026'!I90</f>
        <v>13865</v>
      </c>
      <c r="I8" s="239">
        <f>'T1 wodociag 2022-2026'!L90</f>
        <v>11582</v>
      </c>
      <c r="J8" s="239">
        <f>'T1 wodociag 2022-2026'!O90</f>
        <v>12330</v>
      </c>
      <c r="K8" s="898">
        <f>'T1 wodociag 2022-2026'!R90</f>
        <v>8130</v>
      </c>
      <c r="L8" s="898">
        <f>'T1 wodociag 2022-2026'!U90</f>
        <v>9285</v>
      </c>
      <c r="M8" s="7"/>
    </row>
    <row r="9" spans="1:13" ht="20.100000000000001" customHeight="1">
      <c r="A9" s="1552"/>
      <c r="B9" s="1553"/>
      <c r="C9" s="1563"/>
      <c r="D9" s="659" t="s">
        <v>707</v>
      </c>
      <c r="E9" s="352">
        <f t="shared" ref="E9:E24" si="0">H9+I9+J9+K9+L9</f>
        <v>17013</v>
      </c>
      <c r="F9" s="922"/>
      <c r="G9" s="960">
        <f>'T1 wodociag 2022-2026'!G90</f>
        <v>0</v>
      </c>
      <c r="H9" s="239">
        <f>'T1 wodociag 2022-2026'!J90</f>
        <v>5000</v>
      </c>
      <c r="I9" s="239">
        <f>'T1 wodociag 2022-2026'!M90</f>
        <v>7423</v>
      </c>
      <c r="J9" s="239">
        <f>'T1 wodociag 2022-2026'!P90</f>
        <v>4590</v>
      </c>
      <c r="K9" s="898">
        <f>'T1 wodociag 2022-2026'!S90</f>
        <v>0</v>
      </c>
      <c r="L9" s="898">
        <f>'T1 wodociag 2022-2026'!V90</f>
        <v>0</v>
      </c>
      <c r="M9" s="7"/>
    </row>
    <row r="10" spans="1:13" ht="20.100000000000001" hidden="1" customHeight="1" outlineLevel="1">
      <c r="A10" s="1552"/>
      <c r="B10" s="1553"/>
      <c r="C10" s="1558" t="s">
        <v>165</v>
      </c>
      <c r="D10" s="436" t="s">
        <v>19</v>
      </c>
      <c r="E10" s="352">
        <f t="shared" si="0"/>
        <v>0</v>
      </c>
      <c r="F10" s="922">
        <v>1657</v>
      </c>
      <c r="G10" s="960">
        <v>0</v>
      </c>
      <c r="H10" s="239">
        <v>0</v>
      </c>
      <c r="I10" s="240">
        <v>0</v>
      </c>
      <c r="J10" s="657">
        <v>0</v>
      </c>
      <c r="K10" s="898"/>
    </row>
    <row r="11" spans="1:13" ht="20.100000000000001" hidden="1" customHeight="1" outlineLevel="1">
      <c r="A11" s="1552"/>
      <c r="B11" s="1553"/>
      <c r="C11" s="1559"/>
      <c r="D11" s="436" t="str">
        <f>D18</f>
        <v>dofinansowanie *</v>
      </c>
      <c r="E11" s="352">
        <f t="shared" si="0"/>
        <v>0</v>
      </c>
      <c r="F11" s="922">
        <v>2416</v>
      </c>
      <c r="G11" s="960">
        <v>0</v>
      </c>
      <c r="H11" s="239">
        <v>0</v>
      </c>
      <c r="I11" s="240">
        <v>0</v>
      </c>
      <c r="J11" s="657">
        <v>0</v>
      </c>
      <c r="K11" s="898"/>
      <c r="L11" s="7"/>
    </row>
    <row r="12" spans="1:13" ht="54" customHeight="1" collapsed="1">
      <c r="A12" s="1552"/>
      <c r="B12" s="1553"/>
      <c r="C12" s="1560" t="s">
        <v>852</v>
      </c>
      <c r="D12" s="1561"/>
      <c r="E12" s="352">
        <f t="shared" si="0"/>
        <v>0</v>
      </c>
      <c r="F12" s="922">
        <f t="shared" ref="F12:L12" si="1">F10+F11</f>
        <v>4073</v>
      </c>
      <c r="G12" s="960">
        <f t="shared" si="1"/>
        <v>0</v>
      </c>
      <c r="H12" s="352">
        <f t="shared" si="1"/>
        <v>0</v>
      </c>
      <c r="I12" s="352">
        <v>0</v>
      </c>
      <c r="J12" s="352">
        <f t="shared" si="1"/>
        <v>0</v>
      </c>
      <c r="K12" s="352">
        <f t="shared" si="1"/>
        <v>0</v>
      </c>
      <c r="L12" s="352">
        <f t="shared" si="1"/>
        <v>0</v>
      </c>
    </row>
    <row r="13" spans="1:13" ht="20.100000000000001" customHeight="1">
      <c r="A13" s="1552"/>
      <c r="B13" s="1554" t="s">
        <v>307</v>
      </c>
      <c r="C13" s="1554"/>
      <c r="D13" s="1554"/>
      <c r="E13" s="352">
        <f t="shared" si="0"/>
        <v>55192</v>
      </c>
      <c r="F13" s="922">
        <f t="shared" ref="F13:L13" si="2">F8+F10</f>
        <v>11642</v>
      </c>
      <c r="G13" s="960">
        <f>G8+G10</f>
        <v>7593</v>
      </c>
      <c r="H13" s="239">
        <f t="shared" si="2"/>
        <v>13865</v>
      </c>
      <c r="I13" s="239">
        <f t="shared" si="2"/>
        <v>11582</v>
      </c>
      <c r="J13" s="239">
        <f t="shared" si="2"/>
        <v>12330</v>
      </c>
      <c r="K13" s="239">
        <f t="shared" si="2"/>
        <v>8130</v>
      </c>
      <c r="L13" s="239">
        <f t="shared" si="2"/>
        <v>9285</v>
      </c>
    </row>
    <row r="14" spans="1:13" s="358" customFormat="1" ht="27" customHeight="1">
      <c r="A14" s="1552"/>
      <c r="B14" s="1555" t="s">
        <v>309</v>
      </c>
      <c r="C14" s="1555"/>
      <c r="D14" s="1555"/>
      <c r="E14" s="960">
        <f t="shared" si="0"/>
        <v>72205</v>
      </c>
      <c r="F14" s="960">
        <f t="shared" ref="F14:L14" si="3">F13+F11+F9</f>
        <v>14058</v>
      </c>
      <c r="G14" s="960">
        <f t="shared" si="3"/>
        <v>7593</v>
      </c>
      <c r="H14" s="960">
        <f t="shared" si="3"/>
        <v>18865</v>
      </c>
      <c r="I14" s="960">
        <f t="shared" si="3"/>
        <v>19005</v>
      </c>
      <c r="J14" s="960">
        <f t="shared" si="3"/>
        <v>16920</v>
      </c>
      <c r="K14" s="960">
        <f t="shared" si="3"/>
        <v>8130</v>
      </c>
      <c r="L14" s="960">
        <f t="shared" si="3"/>
        <v>9285</v>
      </c>
    </row>
    <row r="15" spans="1:13" ht="20.100000000000001" customHeight="1">
      <c r="A15" s="1552">
        <v>2</v>
      </c>
      <c r="B15" s="1553" t="s">
        <v>462</v>
      </c>
      <c r="C15" s="1556" t="s">
        <v>615</v>
      </c>
      <c r="D15" s="659" t="s">
        <v>19</v>
      </c>
      <c r="E15" s="352">
        <f t="shared" si="0"/>
        <v>66792</v>
      </c>
      <c r="F15" s="922">
        <v>15265</v>
      </c>
      <c r="G15" s="960">
        <f>'T2 kanalizacja 2022-2026'!F93</f>
        <v>13957</v>
      </c>
      <c r="H15" s="239">
        <f>'T2 kanalizacja 2022-2026'!I93</f>
        <v>11490</v>
      </c>
      <c r="I15" s="240">
        <f>'T2 kanalizacja 2022-2026'!L93</f>
        <v>20097</v>
      </c>
      <c r="J15" s="658">
        <f>'T2 kanalizacja 2022-2026'!O93</f>
        <v>14905</v>
      </c>
      <c r="K15" s="898">
        <f>'T2 kanalizacja 2022-2026'!R93</f>
        <v>9850</v>
      </c>
      <c r="L15" s="898">
        <f>'T2 kanalizacja 2022-2026'!T93</f>
        <v>10450</v>
      </c>
    </row>
    <row r="16" spans="1:13" ht="20.100000000000001" customHeight="1">
      <c r="A16" s="1552"/>
      <c r="B16" s="1553"/>
      <c r="C16" s="1557"/>
      <c r="D16" s="659" t="s">
        <v>707</v>
      </c>
      <c r="E16" s="352">
        <f t="shared" si="0"/>
        <v>0</v>
      </c>
      <c r="F16" s="922"/>
      <c r="G16" s="960">
        <f>'T2 kanalizacja 2022-2026'!G93</f>
        <v>0</v>
      </c>
      <c r="H16" s="239">
        <f>'T2 kanalizacja 2022-2026'!J93</f>
        <v>0</v>
      </c>
      <c r="I16" s="240">
        <f>'T2 kanalizacja 2022-2026'!M93</f>
        <v>0</v>
      </c>
      <c r="J16" s="658">
        <f>'T2 kanalizacja 2022-2026'!P93</f>
        <v>0</v>
      </c>
      <c r="K16" s="898">
        <f>'T2 kanalizacja 2022-2026'!S93</f>
        <v>0</v>
      </c>
      <c r="L16" s="898"/>
    </row>
    <row r="17" spans="1:20" s="6" customFormat="1" ht="20.100000000000001" customHeight="1">
      <c r="A17" s="1552"/>
      <c r="B17" s="1553"/>
      <c r="C17" s="1554" t="s">
        <v>853</v>
      </c>
      <c r="D17" s="436" t="s">
        <v>19</v>
      </c>
      <c r="E17" s="352">
        <f t="shared" si="0"/>
        <v>43405</v>
      </c>
      <c r="F17" s="922">
        <v>8136</v>
      </c>
      <c r="G17" s="960">
        <f>'T2 kanalizacja 2022-2026'!F94</f>
        <v>15809</v>
      </c>
      <c r="H17" s="239">
        <f>'T2 kanalizacja 2022-2026'!I94</f>
        <v>12270</v>
      </c>
      <c r="I17" s="240">
        <f>'T2 kanalizacja 2022-2026'!L94</f>
        <v>3554</v>
      </c>
      <c r="J17" s="658">
        <f>'T2 kanalizacja 2022-2026'!O94</f>
        <v>6533</v>
      </c>
      <c r="K17" s="658">
        <f>'T2 kanalizacja 2022-2026'!R94</f>
        <v>7548</v>
      </c>
      <c r="L17" s="658">
        <f>'T2 kanalizacja 2022-2026'!U94</f>
        <v>13500</v>
      </c>
    </row>
    <row r="18" spans="1:20" s="6" customFormat="1" ht="30.75" customHeight="1">
      <c r="A18" s="1552"/>
      <c r="B18" s="1553"/>
      <c r="C18" s="1554"/>
      <c r="D18" s="436" t="s">
        <v>353</v>
      </c>
      <c r="E18" s="352">
        <f t="shared" si="0"/>
        <v>55701</v>
      </c>
      <c r="F18" s="922">
        <v>37174</v>
      </c>
      <c r="G18" s="960">
        <f>'T2 kanalizacja 2022-2026'!G94</f>
        <v>5327</v>
      </c>
      <c r="H18" s="239">
        <f>'T2 kanalizacja 2022-2026'!J94</f>
        <v>1921</v>
      </c>
      <c r="I18" s="240">
        <f>'T2 kanalizacja 2022-2026'!M95</f>
        <v>16738</v>
      </c>
      <c r="J18" s="658">
        <f>'T2 kanalizacja 2022-2026'!P94</f>
        <v>22851</v>
      </c>
      <c r="K18" s="658">
        <f>'T2 kanalizacja 2022-2026'!S94</f>
        <v>14191</v>
      </c>
      <c r="L18" s="658">
        <f>'T2 kanalizacja 2022-2026'!V94</f>
        <v>0</v>
      </c>
      <c r="T18" s="6">
        <v>173048</v>
      </c>
    </row>
    <row r="19" spans="1:20" s="6" customFormat="1" ht="30" customHeight="1">
      <c r="A19" s="1552"/>
      <c r="B19" s="1553"/>
      <c r="C19" s="1549" t="s">
        <v>892</v>
      </c>
      <c r="D19" s="1549"/>
      <c r="E19" s="352">
        <f t="shared" si="0"/>
        <v>99106</v>
      </c>
      <c r="F19" s="922">
        <f t="shared" ref="F19:L19" si="4">F17+F18</f>
        <v>45310</v>
      </c>
      <c r="G19" s="960">
        <f t="shared" si="4"/>
        <v>21136</v>
      </c>
      <c r="H19" s="352">
        <f t="shared" si="4"/>
        <v>14191</v>
      </c>
      <c r="I19" s="352">
        <f t="shared" si="4"/>
        <v>20292</v>
      </c>
      <c r="J19" s="352">
        <f t="shared" si="4"/>
        <v>29384</v>
      </c>
      <c r="K19" s="352">
        <f t="shared" si="4"/>
        <v>21739</v>
      </c>
      <c r="L19" s="352">
        <f t="shared" si="4"/>
        <v>13500</v>
      </c>
      <c r="N19" s="21">
        <f>'T1 wodociag 2022-2026'!W90</f>
        <v>72205</v>
      </c>
      <c r="O19" s="6" t="s">
        <v>223</v>
      </c>
      <c r="P19" s="6" t="b">
        <f>E14=N19</f>
        <v>1</v>
      </c>
      <c r="T19" s="6">
        <v>-7150</v>
      </c>
    </row>
    <row r="20" spans="1:20" s="6" customFormat="1" ht="20.100000000000001" customHeight="1">
      <c r="A20" s="1552"/>
      <c r="B20" s="1554" t="s">
        <v>305</v>
      </c>
      <c r="C20" s="1554"/>
      <c r="D20" s="1554"/>
      <c r="E20" s="352">
        <f t="shared" si="0"/>
        <v>110197</v>
      </c>
      <c r="F20" s="922">
        <f t="shared" ref="F20:G20" si="5">F15+F17</f>
        <v>23401</v>
      </c>
      <c r="G20" s="960">
        <f t="shared" si="5"/>
        <v>29766</v>
      </c>
      <c r="H20" s="239">
        <f>H15+H17</f>
        <v>23760</v>
      </c>
      <c r="I20" s="239">
        <f>I15+I17</f>
        <v>23651</v>
      </c>
      <c r="J20" s="239">
        <f>J15+J17</f>
        <v>21438</v>
      </c>
      <c r="K20" s="239">
        <f>K15+K17</f>
        <v>17398</v>
      </c>
      <c r="L20" s="239">
        <f>L15+L17</f>
        <v>23950</v>
      </c>
      <c r="N20" s="21">
        <f>'T2 kanalizacja 2022-2026'!W95</f>
        <v>165898</v>
      </c>
      <c r="O20" s="6" t="s">
        <v>224</v>
      </c>
      <c r="P20" s="6" t="b">
        <f>E21=N20</f>
        <v>1</v>
      </c>
      <c r="T20" s="6">
        <f>T18+T19</f>
        <v>165898</v>
      </c>
    </row>
    <row r="21" spans="1:20" s="360" customFormat="1" ht="27" customHeight="1">
      <c r="A21" s="1552"/>
      <c r="B21" s="1555" t="s">
        <v>463</v>
      </c>
      <c r="C21" s="1555"/>
      <c r="D21" s="1555"/>
      <c r="E21" s="960">
        <f t="shared" si="0"/>
        <v>165898</v>
      </c>
      <c r="F21" s="960">
        <f t="shared" ref="F21:H21" si="6">F20+F18</f>
        <v>60575</v>
      </c>
      <c r="G21" s="960">
        <f>G20+G18</f>
        <v>35093</v>
      </c>
      <c r="H21" s="960">
        <f t="shared" si="6"/>
        <v>25681</v>
      </c>
      <c r="I21" s="960">
        <f>I20+I18</f>
        <v>40389</v>
      </c>
      <c r="J21" s="960">
        <f>J20+J18+J16</f>
        <v>44289</v>
      </c>
      <c r="K21" s="960">
        <f>K20+K18+K16</f>
        <v>31589</v>
      </c>
      <c r="L21" s="960">
        <f>L20+L18+L16</f>
        <v>23950</v>
      </c>
      <c r="N21" s="359">
        <f>N19+N20</f>
        <v>238103</v>
      </c>
      <c r="O21" s="360" t="s">
        <v>357</v>
      </c>
      <c r="P21" s="360" t="b">
        <f>E25=N21</f>
        <v>1</v>
      </c>
    </row>
    <row r="22" spans="1:20" s="34" customFormat="1" ht="32.25" customHeight="1">
      <c r="A22" s="435">
        <v>3</v>
      </c>
      <c r="B22" s="1549" t="s">
        <v>893</v>
      </c>
      <c r="C22" s="1549"/>
      <c r="D22" s="1549"/>
      <c r="E22" s="352">
        <f t="shared" si="0"/>
        <v>99106</v>
      </c>
      <c r="F22" s="922">
        <f t="shared" ref="F22:L22" si="7">F12+F19</f>
        <v>49383</v>
      </c>
      <c r="G22" s="960">
        <f>G12+G19</f>
        <v>21136</v>
      </c>
      <c r="H22" s="352">
        <f t="shared" si="7"/>
        <v>14191</v>
      </c>
      <c r="I22" s="352">
        <f t="shared" si="7"/>
        <v>20292</v>
      </c>
      <c r="J22" s="352">
        <f t="shared" si="7"/>
        <v>29384</v>
      </c>
      <c r="K22" s="352">
        <f t="shared" si="7"/>
        <v>21739</v>
      </c>
      <c r="L22" s="352">
        <f t="shared" si="7"/>
        <v>13500</v>
      </c>
    </row>
    <row r="23" spans="1:20" s="34" customFormat="1" ht="20.100000000000001" customHeight="1">
      <c r="A23" s="344">
        <v>4</v>
      </c>
      <c r="B23" s="1547" t="s">
        <v>336</v>
      </c>
      <c r="C23" s="1547"/>
      <c r="D23" s="1547"/>
      <c r="E23" s="353">
        <f t="shared" si="0"/>
        <v>165389</v>
      </c>
      <c r="F23" s="923">
        <f>F13+F20</f>
        <v>35043</v>
      </c>
      <c r="G23" s="959">
        <f>G13+G20</f>
        <v>37359</v>
      </c>
      <c r="H23" s="353">
        <f>H13+H20</f>
        <v>37625</v>
      </c>
      <c r="I23" s="353">
        <f>I13+I20</f>
        <v>35233</v>
      </c>
      <c r="J23" s="353">
        <f>J13+J20</f>
        <v>33768</v>
      </c>
      <c r="K23" s="353">
        <f t="shared" ref="K23:L23" si="8">K13+K20</f>
        <v>25528</v>
      </c>
      <c r="L23" s="353">
        <f t="shared" si="8"/>
        <v>33235</v>
      </c>
      <c r="M23" s="35"/>
      <c r="N23" s="35"/>
      <c r="O23" s="35"/>
      <c r="P23" s="35"/>
      <c r="Q23" s="35"/>
      <c r="R23" s="35"/>
      <c r="S23" s="35"/>
      <c r="T23" s="35"/>
    </row>
    <row r="24" spans="1:20" s="1443" customFormat="1" ht="42" customHeight="1">
      <c r="A24" s="344">
        <v>5</v>
      </c>
      <c r="B24" s="1546" t="s">
        <v>854</v>
      </c>
      <c r="C24" s="1547"/>
      <c r="D24" s="1547"/>
      <c r="E24" s="353">
        <f t="shared" si="0"/>
        <v>72714</v>
      </c>
      <c r="F24" s="923">
        <f t="shared" ref="F24:L24" si="9">F11+F18+F9+F16</f>
        <v>39590</v>
      </c>
      <c r="G24" s="959">
        <f>G11+G18+G9+G16</f>
        <v>5327</v>
      </c>
      <c r="H24" s="353">
        <f>H11+H18+H9+H16</f>
        <v>6921</v>
      </c>
      <c r="I24" s="353">
        <f t="shared" si="9"/>
        <v>24161</v>
      </c>
      <c r="J24" s="353">
        <f t="shared" si="9"/>
        <v>27441</v>
      </c>
      <c r="K24" s="353">
        <f t="shared" si="9"/>
        <v>14191</v>
      </c>
      <c r="L24" s="353">
        <f t="shared" si="9"/>
        <v>0</v>
      </c>
      <c r="M24" s="967">
        <f>'T1 wodociag 2022-2026'!G90+'T1 wodociag 2022-2026'!J90+'T1 wodociag 2022-2026'!M90+'T1 wodociag 2022-2026'!P90+'T1 wodociag 2022-2026'!S90</f>
        <v>17013</v>
      </c>
      <c r="N24" s="968" t="s">
        <v>223</v>
      </c>
      <c r="O24" s="968"/>
      <c r="P24" s="968"/>
      <c r="Q24" s="36"/>
      <c r="R24" s="36"/>
      <c r="S24" s="36"/>
      <c r="T24" s="36"/>
    </row>
    <row r="25" spans="1:20" s="360" customFormat="1" ht="20.100000000000001" customHeight="1">
      <c r="A25" s="393">
        <v>6</v>
      </c>
      <c r="B25" s="1548" t="s">
        <v>335</v>
      </c>
      <c r="C25" s="1548"/>
      <c r="D25" s="1548"/>
      <c r="E25" s="959">
        <f>H25+I25+J25+K25+L25</f>
        <v>238103</v>
      </c>
      <c r="F25" s="959">
        <f>F23+F24</f>
        <v>74633</v>
      </c>
      <c r="G25" s="959">
        <f>G23+G24</f>
        <v>42686</v>
      </c>
      <c r="H25" s="959">
        <f>H23+H24</f>
        <v>44546</v>
      </c>
      <c r="I25" s="959">
        <f t="shared" ref="I25" si="10">I23+I24</f>
        <v>59394</v>
      </c>
      <c r="J25" s="959">
        <f>J23+J24</f>
        <v>61209</v>
      </c>
      <c r="K25" s="959">
        <f>K23+K24</f>
        <v>39719</v>
      </c>
      <c r="L25" s="959">
        <f>L23+L24</f>
        <v>33235</v>
      </c>
      <c r="M25" s="963">
        <f>'T2 kanalizacja 2022-2026'!G95+'T2 kanalizacja 2022-2026'!J95+'T2 kanalizacja 2022-2026'!M95+'T2 kanalizacja 2022-2026'!P95+'T2 kanalizacja 2022-2026'!S95</f>
        <v>61028</v>
      </c>
      <c r="N25" s="964" t="s">
        <v>224</v>
      </c>
      <c r="O25" s="964"/>
      <c r="P25" s="964"/>
      <c r="Q25" s="361"/>
      <c r="R25" s="361"/>
      <c r="S25" s="361"/>
      <c r="T25" s="361"/>
    </row>
    <row r="26" spans="1:20" s="6" customFormat="1" ht="15.75" customHeight="1">
      <c r="A26" s="1550" t="s">
        <v>501</v>
      </c>
      <c r="B26" s="1551"/>
      <c r="C26" s="1551"/>
      <c r="D26" s="1551"/>
      <c r="E26" s="1551"/>
      <c r="F26" s="1551"/>
      <c r="G26" s="1551"/>
      <c r="H26" s="1551"/>
      <c r="I26" s="1551"/>
      <c r="J26" s="720"/>
      <c r="K26" s="914"/>
      <c r="L26" s="30"/>
      <c r="M26" s="965">
        <f>SUM(M24:M25)</f>
        <v>78041</v>
      </c>
      <c r="N26" s="966" t="s">
        <v>740</v>
      </c>
      <c r="O26" s="966"/>
      <c r="P26" s="966"/>
      <c r="Q26" s="30"/>
      <c r="R26" s="30"/>
      <c r="S26" s="30"/>
      <c r="T26" s="30"/>
    </row>
    <row r="27" spans="1:20" s="6" customFormat="1">
      <c r="A27" s="3"/>
      <c r="B27" s="3"/>
      <c r="C27" s="3"/>
      <c r="D27" s="3"/>
      <c r="E27" s="4"/>
      <c r="F27" s="924"/>
      <c r="G27" s="215"/>
      <c r="H27" s="215"/>
      <c r="I27" s="32"/>
      <c r="J27" s="396"/>
      <c r="K27" s="915"/>
    </row>
    <row r="28" spans="1:20" hidden="1">
      <c r="D28" s="241"/>
      <c r="E28" s="355"/>
      <c r="F28" s="925"/>
      <c r="G28" s="244"/>
      <c r="H28" s="244"/>
      <c r="I28" s="244"/>
      <c r="J28" s="666"/>
      <c r="K28" s="916"/>
      <c r="L28" s="1544">
        <f>'T4 WPI 2022-2026'!M35</f>
        <v>247554</v>
      </c>
    </row>
    <row r="29" spans="1:20" hidden="1">
      <c r="C29" s="7"/>
      <c r="D29" s="242"/>
      <c r="E29" s="356"/>
      <c r="F29" s="925"/>
      <c r="G29" s="244"/>
      <c r="H29" s="244"/>
      <c r="I29" s="244"/>
      <c r="J29" s="666"/>
      <c r="K29" s="916"/>
      <c r="L29" s="1545"/>
    </row>
    <row r="30" spans="1:20">
      <c r="D30" s="242"/>
      <c r="E30" s="357"/>
      <c r="F30" s="925"/>
      <c r="G30" s="244"/>
      <c r="H30" s="244"/>
      <c r="I30" s="244"/>
      <c r="J30" s="666"/>
      <c r="K30" s="916"/>
    </row>
    <row r="31" spans="1:20">
      <c r="D31" s="242"/>
      <c r="E31" s="241"/>
      <c r="F31" s="925"/>
      <c r="G31" s="244"/>
      <c r="H31" s="244"/>
      <c r="I31" s="244"/>
      <c r="J31" s="244"/>
      <c r="K31" s="916"/>
    </row>
    <row r="32" spans="1:20">
      <c r="D32" s="242"/>
      <c r="E32" s="245"/>
      <c r="F32" s="926"/>
      <c r="G32" s="247"/>
      <c r="H32" s="247"/>
      <c r="I32" s="247"/>
      <c r="J32" s="666"/>
    </row>
    <row r="33" spans="4:11">
      <c r="D33" s="242"/>
      <c r="E33" s="245"/>
      <c r="F33" s="926"/>
      <c r="G33" s="247"/>
      <c r="H33" s="247"/>
      <c r="I33" s="243"/>
      <c r="J33" s="667"/>
    </row>
    <row r="34" spans="4:11">
      <c r="D34" s="242"/>
      <c r="E34" s="248"/>
      <c r="F34" s="927"/>
      <c r="G34" s="246"/>
      <c r="H34" s="246"/>
      <c r="I34" s="243"/>
      <c r="J34" s="667"/>
      <c r="K34" s="917"/>
    </row>
    <row r="35" spans="4:11">
      <c r="D35" s="107"/>
      <c r="E35" s="111"/>
      <c r="F35" s="928"/>
      <c r="G35" s="109"/>
      <c r="H35" s="109"/>
    </row>
    <row r="36" spans="4:11">
      <c r="D36" s="107"/>
      <c r="E36" s="108"/>
      <c r="F36" s="928"/>
      <c r="G36" s="109"/>
      <c r="H36" s="109"/>
    </row>
    <row r="37" spans="4:11">
      <c r="D37" s="107"/>
      <c r="E37" s="111"/>
      <c r="F37" s="928"/>
      <c r="G37" s="109"/>
      <c r="H37" s="109"/>
      <c r="K37" s="917"/>
    </row>
    <row r="38" spans="4:11">
      <c r="D38" s="107"/>
      <c r="E38" s="111"/>
      <c r="F38" s="928"/>
      <c r="G38" s="109"/>
      <c r="H38" s="109"/>
    </row>
    <row r="39" spans="4:11">
      <c r="D39" s="107"/>
      <c r="E39" s="111"/>
      <c r="F39" s="928"/>
      <c r="G39" s="109"/>
      <c r="H39" s="109"/>
    </row>
    <row r="40" spans="4:11">
      <c r="D40" s="107"/>
      <c r="E40" s="111"/>
      <c r="F40" s="928"/>
      <c r="G40" s="109"/>
      <c r="H40" s="109"/>
    </row>
    <row r="41" spans="4:11">
      <c r="D41" s="107"/>
      <c r="E41" s="108"/>
      <c r="F41" s="928"/>
      <c r="G41" s="109"/>
      <c r="H41" s="109"/>
    </row>
  </sheetData>
  <sheetProtection password="A2A1" sheet="1" objects="1" scenarios="1"/>
  <mergeCells count="26">
    <mergeCell ref="A2:I2"/>
    <mergeCell ref="A5:A6"/>
    <mergeCell ref="B5:D6"/>
    <mergeCell ref="A3:L4"/>
    <mergeCell ref="E5:L5"/>
    <mergeCell ref="B7:D7"/>
    <mergeCell ref="A8:A14"/>
    <mergeCell ref="B8:B12"/>
    <mergeCell ref="C10:C11"/>
    <mergeCell ref="C12:D12"/>
    <mergeCell ref="B13:D13"/>
    <mergeCell ref="B14:D14"/>
    <mergeCell ref="C8:C9"/>
    <mergeCell ref="A15:A21"/>
    <mergeCell ref="B15:B19"/>
    <mergeCell ref="C17:C18"/>
    <mergeCell ref="C19:D19"/>
    <mergeCell ref="B20:D20"/>
    <mergeCell ref="B21:D21"/>
    <mergeCell ref="C15:C16"/>
    <mergeCell ref="L28:L29"/>
    <mergeCell ref="B24:D24"/>
    <mergeCell ref="B25:D25"/>
    <mergeCell ref="B22:D22"/>
    <mergeCell ref="B23:D23"/>
    <mergeCell ref="A26:I26"/>
  </mergeCells>
  <printOptions horizontalCentered="1"/>
  <pageMargins left="0.19685039370078741" right="0.19685039370078741" top="0.39370078740157483" bottom="0.39370078740157483" header="0.39370078740157483" footer="0.39370078740157483"/>
  <pageSetup paperSize="9" firstPageNumber="2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8"/>
  <sheetViews>
    <sheetView zoomScaleSheetLayoutView="100" workbookViewId="0">
      <selection activeCell="X7" sqref="X7"/>
    </sheetView>
  </sheetViews>
  <sheetFormatPr defaultColWidth="9.140625" defaultRowHeight="14.25" outlineLevelRow="1" outlineLevelCol="1"/>
  <cols>
    <col min="1" max="1" width="4.5703125" style="136" customWidth="1"/>
    <col min="2" max="2" width="37.28515625" style="136" customWidth="1"/>
    <col min="3" max="3" width="16.42578125" style="136" hidden="1" customWidth="1" outlineLevel="1"/>
    <col min="4" max="4" width="25.28515625" style="136" hidden="1" customWidth="1" outlineLevel="1"/>
    <col min="5" max="5" width="21.42578125" style="136" hidden="1" customWidth="1" outlineLevel="1"/>
    <col min="6" max="6" width="16.42578125" style="136" hidden="1" customWidth="1" outlineLevel="1"/>
    <col min="7" max="7" width="10.28515625" style="136" hidden="1" customWidth="1" outlineLevel="1"/>
    <col min="8" max="8" width="8.140625" style="136" hidden="1" customWidth="1" outlineLevel="1"/>
    <col min="9" max="9" width="6.7109375" style="136" hidden="1" customWidth="1" outlineLevel="1"/>
    <col min="10" max="10" width="8.28515625" style="136" hidden="1" customWidth="1" outlineLevel="1"/>
    <col min="11" max="11" width="7" style="136" hidden="1" customWidth="1" outlineLevel="1"/>
    <col min="12" max="12" width="7.140625" style="136" hidden="1" customWidth="1" outlineLevel="1"/>
    <col min="13" max="13" width="7.7109375" style="136" hidden="1" customWidth="1" outlineLevel="1"/>
    <col min="14" max="14" width="10.140625" style="136" hidden="1" customWidth="1" outlineLevel="1"/>
    <col min="15" max="15" width="14.42578125" style="226" hidden="1" customWidth="1" outlineLevel="1" collapsed="1"/>
    <col min="16" max="16" width="6.42578125" style="135" customWidth="1" collapsed="1"/>
    <col min="17" max="17" width="6.85546875" style="236" hidden="1" customWidth="1" outlineLevel="1"/>
    <col min="18" max="18" width="7" style="304" customWidth="1" outlineLevel="1"/>
    <col min="19" max="19" width="5.7109375" style="185" customWidth="1"/>
    <col min="20" max="20" width="7.140625" style="304" hidden="1" customWidth="1" outlineLevel="1"/>
    <col min="21" max="22" width="6.7109375" style="304" customWidth="1" outlineLevel="1"/>
    <col min="23" max="23" width="11.140625" style="304" customWidth="1" outlineLevel="1"/>
    <col min="24" max="24" width="5.7109375" style="184" customWidth="1"/>
    <col min="25" max="26" width="6.7109375" style="304" customWidth="1"/>
    <col min="27" max="27" width="10.42578125" style="304" customWidth="1"/>
    <col min="28" max="29" width="5.7109375" style="184" customWidth="1"/>
    <col min="30" max="30" width="9.140625" style="226" hidden="1" customWidth="1" outlineLevel="1"/>
    <col min="31" max="31" width="21.42578125" style="159" hidden="1" customWidth="1" outlineLevel="1"/>
    <col min="32" max="32" width="7.5703125" style="135" customWidth="1" collapsed="1"/>
    <col min="33" max="33" width="15" style="332" customWidth="1"/>
    <col min="34" max="16384" width="9.140625" style="136"/>
  </cols>
  <sheetData>
    <row r="1" spans="1:35" ht="24.75" customHeight="1">
      <c r="A1" s="1573" t="s">
        <v>114</v>
      </c>
      <c r="B1" s="1573"/>
      <c r="C1" s="1573"/>
      <c r="D1" s="1573"/>
      <c r="E1" s="1573"/>
      <c r="F1" s="1573"/>
      <c r="G1" s="1573"/>
      <c r="H1" s="1573"/>
      <c r="I1" s="1573"/>
      <c r="J1" s="1573"/>
      <c r="K1" s="1573"/>
      <c r="L1" s="1573"/>
      <c r="M1" s="1573"/>
      <c r="N1" s="1573"/>
      <c r="O1" s="1573"/>
      <c r="P1" s="1573"/>
      <c r="Q1" s="1573"/>
      <c r="R1" s="1573"/>
      <c r="S1" s="1573"/>
      <c r="T1" s="1573"/>
      <c r="U1" s="1573"/>
      <c r="V1" s="1573"/>
      <c r="W1" s="1573"/>
      <c r="X1" s="1573"/>
      <c r="Y1" s="1573"/>
      <c r="Z1" s="1573"/>
      <c r="AA1" s="1573"/>
      <c r="AB1" s="1573"/>
      <c r="AC1" s="1573"/>
      <c r="AD1" s="1573"/>
      <c r="AE1" s="1573"/>
      <c r="AF1" s="1573"/>
      <c r="AG1" s="1573"/>
    </row>
    <row r="2" spans="1:35" ht="36" customHeight="1">
      <c r="A2" s="1571" t="s">
        <v>115</v>
      </c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1571"/>
      <c r="Y2" s="1571"/>
      <c r="Z2" s="1571"/>
      <c r="AA2" s="1571"/>
      <c r="AB2" s="1571"/>
      <c r="AC2" s="1571"/>
      <c r="AD2" s="1571"/>
      <c r="AE2" s="1571"/>
      <c r="AF2" s="1571"/>
      <c r="AG2" s="1571"/>
    </row>
    <row r="3" spans="1:35" ht="14.25" customHeight="1">
      <c r="A3" s="1574" t="s">
        <v>14</v>
      </c>
      <c r="B3" s="1574" t="s">
        <v>17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570" t="s">
        <v>112</v>
      </c>
      <c r="Q3" s="1570"/>
      <c r="R3" s="1570"/>
      <c r="S3" s="1570"/>
      <c r="T3" s="1570"/>
      <c r="U3" s="1570"/>
      <c r="V3" s="1570"/>
      <c r="W3" s="1570"/>
      <c r="X3" s="1570"/>
      <c r="Y3" s="1570"/>
      <c r="Z3" s="1570"/>
      <c r="AA3" s="1570"/>
      <c r="AB3" s="1570"/>
      <c r="AC3" s="1570"/>
      <c r="AD3" s="1570"/>
      <c r="AE3" s="1570"/>
      <c r="AF3" s="1570"/>
      <c r="AG3" s="1570"/>
    </row>
    <row r="4" spans="1:35" ht="91.5" customHeight="1">
      <c r="A4" s="1574"/>
      <c r="B4" s="1574"/>
      <c r="C4" s="138" t="s">
        <v>381</v>
      </c>
      <c r="D4" s="138" t="s">
        <v>382</v>
      </c>
      <c r="E4" s="138" t="s">
        <v>396</v>
      </c>
      <c r="F4" s="138" t="s">
        <v>383</v>
      </c>
      <c r="G4" s="138" t="s">
        <v>384</v>
      </c>
      <c r="H4" s="138" t="s">
        <v>385</v>
      </c>
      <c r="I4" s="138" t="s">
        <v>378</v>
      </c>
      <c r="J4" s="138" t="s">
        <v>379</v>
      </c>
      <c r="K4" s="138" t="s">
        <v>380</v>
      </c>
      <c r="L4" s="138">
        <v>2016</v>
      </c>
      <c r="M4" s="138">
        <v>2017</v>
      </c>
      <c r="N4" s="322" t="s">
        <v>386</v>
      </c>
      <c r="O4" s="346" t="s">
        <v>216</v>
      </c>
      <c r="P4" s="347" t="s">
        <v>368</v>
      </c>
      <c r="Q4" s="227" t="s">
        <v>446</v>
      </c>
      <c r="R4" s="316" t="s">
        <v>171</v>
      </c>
      <c r="S4" s="139">
        <v>2015</v>
      </c>
      <c r="T4" s="293" t="s">
        <v>447</v>
      </c>
      <c r="U4" s="316" t="s">
        <v>345</v>
      </c>
      <c r="V4" s="316" t="s">
        <v>346</v>
      </c>
      <c r="W4" s="293" t="s">
        <v>177</v>
      </c>
      <c r="X4" s="139">
        <v>2016</v>
      </c>
      <c r="Y4" s="316" t="s">
        <v>345</v>
      </c>
      <c r="Z4" s="316" t="s">
        <v>346</v>
      </c>
      <c r="AA4" s="293" t="s">
        <v>173</v>
      </c>
      <c r="AB4" s="139">
        <v>2017</v>
      </c>
      <c r="AC4" s="139">
        <v>2018</v>
      </c>
      <c r="AD4" s="283" t="s">
        <v>464</v>
      </c>
      <c r="AE4" s="284" t="s">
        <v>464</v>
      </c>
      <c r="AF4" s="285" t="s">
        <v>465</v>
      </c>
      <c r="AG4" s="345" t="s">
        <v>170</v>
      </c>
    </row>
    <row r="5" spans="1:35" s="290" customFormat="1" ht="12.75">
      <c r="A5" s="140">
        <v>1</v>
      </c>
      <c r="B5" s="140">
        <v>2</v>
      </c>
      <c r="C5" s="287">
        <v>2</v>
      </c>
      <c r="D5" s="287">
        <v>3</v>
      </c>
      <c r="E5" s="288">
        <v>4</v>
      </c>
      <c r="F5" s="288">
        <v>5</v>
      </c>
      <c r="G5" s="288">
        <v>6</v>
      </c>
      <c r="H5" s="288">
        <v>7</v>
      </c>
      <c r="I5" s="288">
        <v>8</v>
      </c>
      <c r="J5" s="288">
        <v>9</v>
      </c>
      <c r="K5" s="288">
        <v>10</v>
      </c>
      <c r="L5" s="288">
        <v>11</v>
      </c>
      <c r="M5" s="288">
        <v>12</v>
      </c>
      <c r="N5" s="288">
        <v>13</v>
      </c>
      <c r="O5" s="217">
        <v>3</v>
      </c>
      <c r="P5" s="141">
        <v>3</v>
      </c>
      <c r="Q5" s="217">
        <v>6</v>
      </c>
      <c r="R5" s="294" t="s">
        <v>174</v>
      </c>
      <c r="S5" s="141">
        <v>4</v>
      </c>
      <c r="T5" s="294">
        <v>7</v>
      </c>
      <c r="U5" s="294" t="s">
        <v>175</v>
      </c>
      <c r="V5" s="294" t="s">
        <v>176</v>
      </c>
      <c r="W5" s="294" t="s">
        <v>178</v>
      </c>
      <c r="X5" s="141">
        <v>5</v>
      </c>
      <c r="Y5" s="294" t="s">
        <v>179</v>
      </c>
      <c r="Z5" s="294" t="s">
        <v>180</v>
      </c>
      <c r="AA5" s="294" t="s">
        <v>181</v>
      </c>
      <c r="AB5" s="141">
        <v>6</v>
      </c>
      <c r="AC5" s="141">
        <v>7</v>
      </c>
      <c r="AD5" s="217">
        <v>8</v>
      </c>
      <c r="AE5" s="142">
        <v>9</v>
      </c>
      <c r="AF5" s="289">
        <v>8</v>
      </c>
      <c r="AG5" s="328">
        <v>9</v>
      </c>
    </row>
    <row r="6" spans="1:35" ht="81.75" customHeight="1">
      <c r="A6" s="138">
        <v>1</v>
      </c>
      <c r="B6" s="186" t="s">
        <v>172</v>
      </c>
      <c r="C6" s="186"/>
      <c r="D6" s="187"/>
      <c r="E6" s="187"/>
      <c r="F6" s="187"/>
      <c r="G6" s="187"/>
      <c r="H6" s="188"/>
      <c r="I6" s="188"/>
      <c r="J6" s="188"/>
      <c r="K6" s="188"/>
      <c r="L6" s="188"/>
      <c r="M6" s="188"/>
      <c r="N6" s="189"/>
      <c r="O6" s="218">
        <f t="shared" ref="O6:O17" si="0">Q6+T6+AD6</f>
        <v>1167</v>
      </c>
      <c r="P6" s="145">
        <f>S6+X6+AB6+AC6+AF6</f>
        <v>930</v>
      </c>
      <c r="Q6" s="228">
        <f>1067+100</f>
        <v>1167</v>
      </c>
      <c r="R6" s="295">
        <f>W6+AA6+AB6+AC6+AF6</f>
        <v>930</v>
      </c>
      <c r="S6" s="146">
        <v>930</v>
      </c>
      <c r="T6" s="295"/>
      <c r="U6" s="295"/>
      <c r="V6" s="295"/>
      <c r="W6" s="295">
        <f t="shared" ref="W6:W16" si="1">S6-U6+V6</f>
        <v>930</v>
      </c>
      <c r="X6" s="190"/>
      <c r="Y6" s="295"/>
      <c r="Z6" s="295"/>
      <c r="AA6" s="295">
        <f>X6-Y6+Z6</f>
        <v>0</v>
      </c>
      <c r="AB6" s="190"/>
      <c r="AC6" s="190"/>
      <c r="AD6" s="237"/>
      <c r="AE6" s="191" t="s">
        <v>443</v>
      </c>
      <c r="AF6" s="214"/>
      <c r="AG6" s="327" t="s">
        <v>337</v>
      </c>
    </row>
    <row r="7" spans="1:35" ht="69" customHeight="1">
      <c r="A7" s="138">
        <v>2</v>
      </c>
      <c r="B7" s="186" t="s">
        <v>435</v>
      </c>
      <c r="C7" s="186"/>
      <c r="D7" s="187"/>
      <c r="E7" s="187"/>
      <c r="F7" s="187"/>
      <c r="G7" s="187"/>
      <c r="H7" s="188"/>
      <c r="I7" s="188"/>
      <c r="J7" s="188"/>
      <c r="K7" s="188"/>
      <c r="L7" s="188"/>
      <c r="M7" s="188"/>
      <c r="N7" s="189"/>
      <c r="O7" s="218">
        <f t="shared" si="0"/>
        <v>6400</v>
      </c>
      <c r="P7" s="145">
        <f t="shared" ref="P7:P17" si="2">S7+X7+AB7+AC7+AF7</f>
        <v>5400</v>
      </c>
      <c r="Q7" s="228">
        <v>4000</v>
      </c>
      <c r="R7" s="295">
        <f t="shared" ref="R7:R17" si="3">W7+AA7+AB7+AC7+AF7</f>
        <v>0</v>
      </c>
      <c r="S7" s="146">
        <v>1500</v>
      </c>
      <c r="T7" s="295">
        <v>2400</v>
      </c>
      <c r="U7" s="295">
        <v>1500</v>
      </c>
      <c r="V7" s="295"/>
      <c r="W7" s="295">
        <f t="shared" si="1"/>
        <v>0</v>
      </c>
      <c r="X7" s="190">
        <v>3900</v>
      </c>
      <c r="Y7" s="295">
        <v>3900</v>
      </c>
      <c r="Z7" s="295"/>
      <c r="AA7" s="295">
        <f t="shared" ref="AA7:AA17" si="4">X7-Y7+Z7</f>
        <v>0</v>
      </c>
      <c r="AB7" s="190"/>
      <c r="AC7" s="190"/>
      <c r="AD7" s="237"/>
      <c r="AE7" s="1572" t="s">
        <v>444</v>
      </c>
      <c r="AF7" s="214"/>
      <c r="AG7" s="327" t="s">
        <v>338</v>
      </c>
      <c r="AH7" s="183"/>
    </row>
    <row r="8" spans="1:35" ht="105.75" customHeight="1">
      <c r="A8" s="138">
        <v>3</v>
      </c>
      <c r="B8" s="186" t="s">
        <v>472</v>
      </c>
      <c r="C8" s="186"/>
      <c r="D8" s="187"/>
      <c r="E8" s="187"/>
      <c r="F8" s="187"/>
      <c r="G8" s="187"/>
      <c r="H8" s="188"/>
      <c r="I8" s="188"/>
      <c r="J8" s="188"/>
      <c r="K8" s="188"/>
      <c r="L8" s="188"/>
      <c r="M8" s="188"/>
      <c r="N8" s="189"/>
      <c r="O8" s="218">
        <f t="shared" si="0"/>
        <v>0</v>
      </c>
      <c r="P8" s="145">
        <f t="shared" si="2"/>
        <v>340</v>
      </c>
      <c r="Q8" s="228"/>
      <c r="R8" s="295">
        <f t="shared" si="3"/>
        <v>585</v>
      </c>
      <c r="S8" s="146">
        <v>340</v>
      </c>
      <c r="T8" s="295"/>
      <c r="U8" s="295"/>
      <c r="V8" s="295">
        <v>245</v>
      </c>
      <c r="W8" s="295">
        <f t="shared" si="1"/>
        <v>585</v>
      </c>
      <c r="X8" s="190"/>
      <c r="Y8" s="295"/>
      <c r="Z8" s="295"/>
      <c r="AA8" s="295">
        <f t="shared" si="4"/>
        <v>0</v>
      </c>
      <c r="AB8" s="190"/>
      <c r="AC8" s="190"/>
      <c r="AD8" s="237"/>
      <c r="AE8" s="1572"/>
      <c r="AF8" s="214"/>
      <c r="AG8" s="327" t="s">
        <v>341</v>
      </c>
      <c r="AI8" s="286"/>
    </row>
    <row r="9" spans="1:35" ht="110.25" customHeight="1">
      <c r="A9" s="138">
        <v>4</v>
      </c>
      <c r="B9" s="186" t="s">
        <v>436</v>
      </c>
      <c r="C9" s="186"/>
      <c r="D9" s="187"/>
      <c r="E9" s="187"/>
      <c r="F9" s="187"/>
      <c r="G9" s="187"/>
      <c r="H9" s="188"/>
      <c r="I9" s="188"/>
      <c r="J9" s="188"/>
      <c r="K9" s="188"/>
      <c r="L9" s="188"/>
      <c r="M9" s="188"/>
      <c r="N9" s="189"/>
      <c r="O9" s="218">
        <f t="shared" si="0"/>
        <v>0</v>
      </c>
      <c r="P9" s="145">
        <f t="shared" si="2"/>
        <v>890</v>
      </c>
      <c r="Q9" s="228"/>
      <c r="R9" s="295">
        <f t="shared" si="3"/>
        <v>890</v>
      </c>
      <c r="S9" s="146">
        <v>890</v>
      </c>
      <c r="T9" s="295"/>
      <c r="U9" s="295"/>
      <c r="V9" s="295"/>
      <c r="W9" s="295">
        <f t="shared" si="1"/>
        <v>890</v>
      </c>
      <c r="X9" s="190"/>
      <c r="Y9" s="295"/>
      <c r="Z9" s="295"/>
      <c r="AA9" s="295">
        <f t="shared" si="4"/>
        <v>0</v>
      </c>
      <c r="AB9" s="190"/>
      <c r="AC9" s="190"/>
      <c r="AD9" s="237"/>
      <c r="AE9" s="1572"/>
      <c r="AF9" s="216"/>
      <c r="AG9" s="327" t="s">
        <v>342</v>
      </c>
    </row>
    <row r="10" spans="1:35" ht="66" customHeight="1">
      <c r="A10" s="138">
        <v>5</v>
      </c>
      <c r="B10" s="186" t="s">
        <v>471</v>
      </c>
      <c r="C10" s="186"/>
      <c r="D10" s="187"/>
      <c r="E10" s="187"/>
      <c r="F10" s="187"/>
      <c r="G10" s="187"/>
      <c r="H10" s="188"/>
      <c r="I10" s="188"/>
      <c r="J10" s="188"/>
      <c r="K10" s="188"/>
      <c r="L10" s="188"/>
      <c r="M10" s="188"/>
      <c r="N10" s="189"/>
      <c r="O10" s="218">
        <f t="shared" si="0"/>
        <v>0</v>
      </c>
      <c r="P10" s="145">
        <f t="shared" si="2"/>
        <v>600</v>
      </c>
      <c r="Q10" s="228"/>
      <c r="R10" s="295">
        <f t="shared" si="3"/>
        <v>600</v>
      </c>
      <c r="S10" s="146">
        <v>600</v>
      </c>
      <c r="T10" s="295"/>
      <c r="U10" s="295"/>
      <c r="V10" s="295"/>
      <c r="W10" s="295">
        <f t="shared" si="1"/>
        <v>600</v>
      </c>
      <c r="X10" s="190"/>
      <c r="Y10" s="295"/>
      <c r="Z10" s="295"/>
      <c r="AA10" s="295">
        <f t="shared" si="4"/>
        <v>0</v>
      </c>
      <c r="AB10" s="190"/>
      <c r="AC10" s="190"/>
      <c r="AD10" s="237"/>
      <c r="AE10" s="191"/>
      <c r="AF10" s="214"/>
      <c r="AG10" s="327" t="s">
        <v>339</v>
      </c>
    </row>
    <row r="11" spans="1:35" ht="70.5" customHeight="1">
      <c r="A11" s="138">
        <v>6</v>
      </c>
      <c r="B11" s="186" t="s">
        <v>438</v>
      </c>
      <c r="C11" s="186"/>
      <c r="D11" s="193"/>
      <c r="E11" s="187"/>
      <c r="F11" s="187"/>
      <c r="G11" s="187"/>
      <c r="H11" s="188"/>
      <c r="I11" s="188"/>
      <c r="J11" s="188"/>
      <c r="K11" s="188"/>
      <c r="L11" s="188"/>
      <c r="M11" s="188"/>
      <c r="N11" s="189"/>
      <c r="O11" s="218">
        <f t="shared" si="0"/>
        <v>650</v>
      </c>
      <c r="P11" s="145">
        <f t="shared" si="2"/>
        <v>650</v>
      </c>
      <c r="Q11" s="228">
        <v>650</v>
      </c>
      <c r="R11" s="295">
        <f t="shared" si="3"/>
        <v>650</v>
      </c>
      <c r="S11" s="146">
        <f>Q11</f>
        <v>650</v>
      </c>
      <c r="T11" s="295"/>
      <c r="U11" s="295"/>
      <c r="V11" s="295"/>
      <c r="W11" s="295">
        <f t="shared" si="1"/>
        <v>650</v>
      </c>
      <c r="X11" s="190"/>
      <c r="Y11" s="295"/>
      <c r="Z11" s="295"/>
      <c r="AA11" s="295">
        <f t="shared" si="4"/>
        <v>0</v>
      </c>
      <c r="AB11" s="190"/>
      <c r="AC11" s="190"/>
      <c r="AD11" s="237"/>
      <c r="AE11" s="1577" t="s">
        <v>443</v>
      </c>
      <c r="AF11" s="214"/>
      <c r="AG11" s="329" t="s">
        <v>343</v>
      </c>
    </row>
    <row r="12" spans="1:35" ht="115.5" customHeight="1">
      <c r="A12" s="138">
        <v>7</v>
      </c>
      <c r="B12" s="315" t="s">
        <v>437</v>
      </c>
      <c r="C12" s="186"/>
      <c r="D12" s="193"/>
      <c r="E12" s="187"/>
      <c r="F12" s="187"/>
      <c r="G12" s="187"/>
      <c r="H12" s="188"/>
      <c r="I12" s="188"/>
      <c r="J12" s="188"/>
      <c r="K12" s="188"/>
      <c r="L12" s="188"/>
      <c r="M12" s="188"/>
      <c r="N12" s="189"/>
      <c r="O12" s="218">
        <f t="shared" si="0"/>
        <v>900</v>
      </c>
      <c r="P12" s="145">
        <f t="shared" si="2"/>
        <v>850</v>
      </c>
      <c r="Q12" s="228">
        <v>900</v>
      </c>
      <c r="R12" s="295">
        <f t="shared" si="3"/>
        <v>850</v>
      </c>
      <c r="S12" s="146">
        <f>200+250</f>
        <v>450</v>
      </c>
      <c r="T12" s="295"/>
      <c r="U12" s="295"/>
      <c r="V12" s="295"/>
      <c r="W12" s="295">
        <f t="shared" si="1"/>
        <v>450</v>
      </c>
      <c r="X12" s="190">
        <f>200+200</f>
        <v>400</v>
      </c>
      <c r="Y12" s="295"/>
      <c r="Z12" s="295"/>
      <c r="AA12" s="295">
        <f t="shared" si="4"/>
        <v>400</v>
      </c>
      <c r="AB12" s="190"/>
      <c r="AC12" s="190"/>
      <c r="AD12" s="237"/>
      <c r="AE12" s="1578"/>
      <c r="AF12" s="214"/>
      <c r="AG12" s="329" t="s">
        <v>344</v>
      </c>
    </row>
    <row r="13" spans="1:35" ht="69" hidden="1" customHeight="1" outlineLevel="1">
      <c r="A13" s="138">
        <v>8</v>
      </c>
      <c r="B13" s="292" t="s">
        <v>473</v>
      </c>
      <c r="C13" s="186"/>
      <c r="D13" s="193"/>
      <c r="E13" s="187"/>
      <c r="F13" s="187"/>
      <c r="G13" s="187"/>
      <c r="H13" s="188"/>
      <c r="I13" s="188"/>
      <c r="J13" s="188"/>
      <c r="K13" s="188"/>
      <c r="L13" s="188"/>
      <c r="M13" s="188"/>
      <c r="N13" s="189"/>
      <c r="O13" s="218">
        <f t="shared" si="0"/>
        <v>450</v>
      </c>
      <c r="P13" s="145">
        <f t="shared" si="2"/>
        <v>0</v>
      </c>
      <c r="Q13" s="228">
        <v>450</v>
      </c>
      <c r="R13" s="295">
        <f t="shared" si="3"/>
        <v>0</v>
      </c>
      <c r="S13" s="146">
        <f>250*0</f>
        <v>0</v>
      </c>
      <c r="T13" s="295"/>
      <c r="U13" s="295"/>
      <c r="V13" s="295"/>
      <c r="W13" s="295">
        <f t="shared" si="1"/>
        <v>0</v>
      </c>
      <c r="X13" s="190">
        <f>200*0</f>
        <v>0</v>
      </c>
      <c r="Y13" s="295"/>
      <c r="Z13" s="295"/>
      <c r="AA13" s="295">
        <f t="shared" si="4"/>
        <v>0</v>
      </c>
      <c r="AB13" s="190"/>
      <c r="AC13" s="190"/>
      <c r="AD13" s="237"/>
      <c r="AE13" s="1579"/>
      <c r="AF13" s="214"/>
      <c r="AG13" s="330"/>
    </row>
    <row r="14" spans="1:35" ht="69" customHeight="1" collapsed="1">
      <c r="A14" s="138">
        <v>8</v>
      </c>
      <c r="B14" s="186" t="s">
        <v>474</v>
      </c>
      <c r="C14" s="186"/>
      <c r="D14" s="193"/>
      <c r="E14" s="187"/>
      <c r="F14" s="187"/>
      <c r="G14" s="187"/>
      <c r="H14" s="188"/>
      <c r="I14" s="188"/>
      <c r="J14" s="188"/>
      <c r="K14" s="188"/>
      <c r="L14" s="188"/>
      <c r="M14" s="188"/>
      <c r="N14" s="189"/>
      <c r="O14" s="218"/>
      <c r="P14" s="145">
        <f t="shared" si="2"/>
        <v>700</v>
      </c>
      <c r="Q14" s="228"/>
      <c r="R14" s="295">
        <f t="shared" si="3"/>
        <v>700</v>
      </c>
      <c r="S14" s="146">
        <v>700</v>
      </c>
      <c r="T14" s="295"/>
      <c r="U14" s="295"/>
      <c r="V14" s="295"/>
      <c r="W14" s="295">
        <f t="shared" si="1"/>
        <v>700</v>
      </c>
      <c r="X14" s="190"/>
      <c r="Y14" s="295"/>
      <c r="Z14" s="295"/>
      <c r="AA14" s="295">
        <f t="shared" si="4"/>
        <v>0</v>
      </c>
      <c r="AB14" s="190"/>
      <c r="AC14" s="190"/>
      <c r="AD14" s="237"/>
      <c r="AE14" s="200"/>
      <c r="AF14" s="214"/>
      <c r="AG14" s="327" t="s">
        <v>337</v>
      </c>
    </row>
    <row r="15" spans="1:35" ht="47.25" customHeight="1">
      <c r="A15" s="138">
        <v>9</v>
      </c>
      <c r="B15" s="186" t="s">
        <v>470</v>
      </c>
      <c r="C15" s="186"/>
      <c r="D15" s="193"/>
      <c r="E15" s="187"/>
      <c r="F15" s="187"/>
      <c r="G15" s="187"/>
      <c r="H15" s="188"/>
      <c r="I15" s="188"/>
      <c r="J15" s="188"/>
      <c r="K15" s="188"/>
      <c r="L15" s="188"/>
      <c r="M15" s="188"/>
      <c r="N15" s="189"/>
      <c r="O15" s="218">
        <f t="shared" si="0"/>
        <v>2522</v>
      </c>
      <c r="P15" s="145">
        <f>S15+X15+AB15+AC15+AF15</f>
        <v>134</v>
      </c>
      <c r="Q15" s="228">
        <f>SUM(Q16:Q17)</f>
        <v>927</v>
      </c>
      <c r="R15" s="295">
        <f t="shared" si="3"/>
        <v>270</v>
      </c>
      <c r="S15" s="146">
        <f>SUM(S16:S17)</f>
        <v>134</v>
      </c>
      <c r="T15" s="295">
        <f>SUM(T16:T17)</f>
        <v>1595</v>
      </c>
      <c r="U15" s="295"/>
      <c r="V15" s="295">
        <f>SUM(V16:V17)</f>
        <v>136</v>
      </c>
      <c r="W15" s="295">
        <f t="shared" si="1"/>
        <v>270</v>
      </c>
      <c r="X15" s="190">
        <f>X16+X17</f>
        <v>0</v>
      </c>
      <c r="Y15" s="295">
        <f>SUM(Y16:Y17)</f>
        <v>0</v>
      </c>
      <c r="Z15" s="295">
        <f>SUM(Z16:Z17)</f>
        <v>0</v>
      </c>
      <c r="AA15" s="295">
        <f t="shared" si="4"/>
        <v>0</v>
      </c>
      <c r="AB15" s="190"/>
      <c r="AC15" s="190"/>
      <c r="AD15" s="228"/>
      <c r="AE15" s="192"/>
      <c r="AF15" s="214"/>
      <c r="AG15" s="331"/>
    </row>
    <row r="16" spans="1:35" ht="98.25" customHeight="1" outlineLevel="1">
      <c r="A16" s="137" t="s">
        <v>351</v>
      </c>
      <c r="B16" s="186" t="s">
        <v>439</v>
      </c>
      <c r="C16" s="186"/>
      <c r="D16" s="193"/>
      <c r="E16" s="187"/>
      <c r="F16" s="187"/>
      <c r="G16" s="187"/>
      <c r="H16" s="188"/>
      <c r="I16" s="188"/>
      <c r="J16" s="188"/>
      <c r="K16" s="188"/>
      <c r="L16" s="188"/>
      <c r="M16" s="188"/>
      <c r="N16" s="189"/>
      <c r="O16" s="218">
        <f t="shared" si="0"/>
        <v>527</v>
      </c>
      <c r="P16" s="145">
        <f t="shared" si="2"/>
        <v>760</v>
      </c>
      <c r="Q16" s="228">
        <v>527</v>
      </c>
      <c r="R16" s="295">
        <f t="shared" si="3"/>
        <v>760</v>
      </c>
      <c r="S16" s="146">
        <v>0</v>
      </c>
      <c r="T16" s="295"/>
      <c r="U16" s="295"/>
      <c r="V16" s="295"/>
      <c r="W16" s="295">
        <f t="shared" si="1"/>
        <v>0</v>
      </c>
      <c r="X16" s="190"/>
      <c r="Y16" s="295"/>
      <c r="Z16" s="295"/>
      <c r="AA16" s="295">
        <f t="shared" si="4"/>
        <v>0</v>
      </c>
      <c r="AB16" s="190"/>
      <c r="AC16" s="190">
        <v>760</v>
      </c>
      <c r="AD16" s="237"/>
      <c r="AE16" s="191" t="s">
        <v>444</v>
      </c>
      <c r="AF16" s="214"/>
      <c r="AG16" s="327" t="s">
        <v>469</v>
      </c>
    </row>
    <row r="17" spans="1:37" ht="170.25" customHeight="1" outlineLevel="1">
      <c r="A17" s="137" t="s">
        <v>159</v>
      </c>
      <c r="B17" s="194" t="s">
        <v>404</v>
      </c>
      <c r="C17" s="194" t="s">
        <v>388</v>
      </c>
      <c r="D17" s="195" t="s">
        <v>388</v>
      </c>
      <c r="E17" s="196"/>
      <c r="F17" s="196" t="s">
        <v>389</v>
      </c>
      <c r="G17" s="197" t="s">
        <v>387</v>
      </c>
      <c r="H17" s="198">
        <v>6000</v>
      </c>
      <c r="I17" s="198"/>
      <c r="J17" s="198">
        <v>2000</v>
      </c>
      <c r="K17" s="198">
        <v>2000</v>
      </c>
      <c r="L17" s="198">
        <v>2000</v>
      </c>
      <c r="M17" s="198"/>
      <c r="N17" s="199">
        <v>1.28</v>
      </c>
      <c r="O17" s="218">
        <f t="shared" si="0"/>
        <v>1995</v>
      </c>
      <c r="P17" s="145">
        <f t="shared" si="2"/>
        <v>134</v>
      </c>
      <c r="Q17" s="228">
        <f>69+87+44+255-55</f>
        <v>400</v>
      </c>
      <c r="R17" s="295">
        <f t="shared" si="3"/>
        <v>270</v>
      </c>
      <c r="S17" s="146">
        <v>134</v>
      </c>
      <c r="T17" s="295">
        <f>1300-413+23+729-44</f>
        <v>1595</v>
      </c>
      <c r="U17" s="295"/>
      <c r="V17" s="295">
        <v>136</v>
      </c>
      <c r="W17" s="295">
        <v>270</v>
      </c>
      <c r="X17" s="190"/>
      <c r="Y17" s="295"/>
      <c r="Z17" s="295"/>
      <c r="AA17" s="295">
        <f t="shared" si="4"/>
        <v>0</v>
      </c>
      <c r="AB17" s="190"/>
      <c r="AC17" s="190"/>
      <c r="AD17" s="237"/>
      <c r="AE17" s="200" t="s">
        <v>402</v>
      </c>
      <c r="AF17" s="214"/>
      <c r="AG17" s="327" t="s">
        <v>340</v>
      </c>
    </row>
    <row r="18" spans="1:37" ht="22.5" customHeight="1">
      <c r="A18" s="1584" t="s">
        <v>403</v>
      </c>
      <c r="B18" s="1585"/>
      <c r="C18" s="148"/>
      <c r="D18" s="147"/>
      <c r="E18" s="149"/>
      <c r="F18" s="149"/>
      <c r="G18" s="149"/>
      <c r="H18" s="150">
        <f t="shared" ref="H18:N18" si="5">SUM(H6:H6)</f>
        <v>0</v>
      </c>
      <c r="I18" s="150">
        <f t="shared" si="5"/>
        <v>0</v>
      </c>
      <c r="J18" s="150">
        <f t="shared" si="5"/>
        <v>0</v>
      </c>
      <c r="K18" s="150">
        <f t="shared" si="5"/>
        <v>0</v>
      </c>
      <c r="L18" s="150">
        <f t="shared" si="5"/>
        <v>0</v>
      </c>
      <c r="M18" s="150">
        <f t="shared" si="5"/>
        <v>0</v>
      </c>
      <c r="N18" s="144">
        <f t="shared" si="5"/>
        <v>0</v>
      </c>
      <c r="O18" s="145">
        <f>Q18+T18+AD18</f>
        <v>7567</v>
      </c>
      <c r="P18" s="145">
        <f>S18+X18+AB18+AC18+AF18</f>
        <v>10494</v>
      </c>
      <c r="Q18" s="291">
        <f>SUM(Q6:Q10)</f>
        <v>5167</v>
      </c>
      <c r="R18" s="295">
        <f>W18+AA18+AB18+AC18+AF18</f>
        <v>5475</v>
      </c>
      <c r="S18" s="146">
        <f>SUM(S6:S15)</f>
        <v>6194</v>
      </c>
      <c r="T18" s="295">
        <f>SUM(T6:T10)</f>
        <v>2400</v>
      </c>
      <c r="U18" s="295">
        <f>SUM(U6:U15)</f>
        <v>1500</v>
      </c>
      <c r="V18" s="295">
        <f>SUM(V6:V15)</f>
        <v>381</v>
      </c>
      <c r="W18" s="295">
        <f>S18-U18+V18</f>
        <v>5075</v>
      </c>
      <c r="X18" s="146">
        <f>SUM(X6:X15)</f>
        <v>4300</v>
      </c>
      <c r="Y18" s="295">
        <f>SUM(Y6:Y15)</f>
        <v>3900</v>
      </c>
      <c r="Z18" s="295">
        <f>SUM(Z6:Z15)</f>
        <v>0</v>
      </c>
      <c r="AA18" s="295">
        <f>X18-Y18+Z18</f>
        <v>400</v>
      </c>
      <c r="AB18" s="146">
        <f>SUM(AB6:AB15)</f>
        <v>0</v>
      </c>
      <c r="AC18" s="146">
        <f>SUM(AC6:AC15)</f>
        <v>0</v>
      </c>
      <c r="AD18" s="146"/>
      <c r="AE18" s="151"/>
      <c r="AF18" s="146">
        <f>SUM(AF6:AF15)</f>
        <v>0</v>
      </c>
      <c r="AG18" s="331"/>
    </row>
    <row r="19" spans="1:37" ht="30.75" customHeight="1">
      <c r="A19" s="1586"/>
      <c r="B19" s="1586"/>
      <c r="C19" s="152"/>
      <c r="D19" s="153"/>
      <c r="E19" s="152"/>
      <c r="F19" s="152"/>
      <c r="G19" s="152"/>
      <c r="H19" s="154"/>
      <c r="I19" s="154"/>
      <c r="J19" s="154"/>
      <c r="K19" s="154"/>
      <c r="L19" s="154"/>
      <c r="M19" s="155"/>
      <c r="N19" s="156"/>
      <c r="O19" s="219"/>
      <c r="P19" s="157"/>
      <c r="Q19" s="229"/>
      <c r="R19" s="296"/>
      <c r="S19" s="158"/>
      <c r="T19" s="296"/>
      <c r="U19" s="296"/>
      <c r="V19" s="296"/>
      <c r="W19" s="296"/>
      <c r="X19" s="158"/>
      <c r="Y19" s="296"/>
      <c r="Z19" s="296"/>
      <c r="AA19" s="296"/>
      <c r="AB19" s="158"/>
      <c r="AC19" s="158"/>
      <c r="AD19" s="229"/>
      <c r="AF19" s="207"/>
    </row>
    <row r="20" spans="1:37" ht="22.5" customHeight="1">
      <c r="A20" s="152"/>
      <c r="B20" s="152"/>
      <c r="C20" s="152"/>
      <c r="D20" s="153"/>
      <c r="E20" s="152"/>
      <c r="F20" s="152"/>
      <c r="G20" s="152"/>
      <c r="H20" s="154"/>
      <c r="I20" s="154"/>
      <c r="J20" s="154"/>
      <c r="K20" s="154"/>
      <c r="L20" s="154"/>
      <c r="M20" s="155"/>
      <c r="N20" s="156"/>
      <c r="O20" s="219">
        <f>SUM(O6:O10)</f>
        <v>7567</v>
      </c>
      <c r="P20" s="157"/>
      <c r="Q20" s="229">
        <f>Q24-Q18</f>
        <v>5339</v>
      </c>
      <c r="R20" s="296"/>
      <c r="S20" s="158"/>
      <c r="T20" s="296"/>
      <c r="U20" s="296"/>
      <c r="V20" s="296"/>
      <c r="W20" s="296"/>
      <c r="X20" s="158"/>
      <c r="Y20" s="296"/>
      <c r="Z20" s="296"/>
      <c r="AA20" s="296"/>
      <c r="AB20" s="158"/>
      <c r="AC20" s="158"/>
      <c r="AD20" s="229"/>
      <c r="AE20" s="201" t="e">
        <f>#REF!+#REF!+#REF!+#REF!+#REF!+O6+O7+O8+O9+#REF!+#REF!</f>
        <v>#REF!</v>
      </c>
    </row>
    <row r="21" spans="1:37" ht="11.25" customHeight="1" thickBot="1">
      <c r="A21" s="160"/>
      <c r="B21" s="160"/>
      <c r="C21" s="160"/>
      <c r="D21" s="153"/>
      <c r="E21" s="160"/>
      <c r="F21" s="160"/>
      <c r="G21" s="160"/>
      <c r="H21" s="160"/>
      <c r="I21" s="160">
        <v>3205</v>
      </c>
      <c r="J21" s="160"/>
      <c r="K21" s="160"/>
      <c r="L21" s="160"/>
      <c r="M21" s="161">
        <v>3895</v>
      </c>
      <c r="N21" s="160"/>
      <c r="O21" s="220"/>
      <c r="P21" s="160"/>
      <c r="Q21" s="230"/>
      <c r="R21" s="297"/>
      <c r="S21" s="162"/>
      <c r="T21" s="297"/>
      <c r="U21" s="297"/>
      <c r="V21" s="297"/>
      <c r="W21" s="297"/>
      <c r="X21" s="162"/>
      <c r="Y21" s="297"/>
      <c r="Z21" s="297"/>
      <c r="AA21" s="297"/>
      <c r="AB21" s="162"/>
      <c r="AC21" s="162"/>
    </row>
    <row r="22" spans="1:37" ht="21" customHeight="1">
      <c r="A22" s="160"/>
      <c r="B22" s="160"/>
      <c r="C22" s="160"/>
      <c r="D22" s="160"/>
      <c r="E22" s="160"/>
      <c r="F22" s="1580" t="s">
        <v>390</v>
      </c>
      <c r="G22" s="1581"/>
      <c r="H22" s="163"/>
      <c r="I22" s="163"/>
      <c r="J22" s="163"/>
      <c r="K22" s="163"/>
      <c r="L22" s="163"/>
      <c r="M22" s="163"/>
      <c r="N22" s="163"/>
      <c r="O22" s="1587" t="s">
        <v>391</v>
      </c>
      <c r="P22" s="205"/>
      <c r="Q22" s="1589"/>
      <c r="R22" s="1589"/>
      <c r="S22" s="1589"/>
      <c r="T22" s="1590"/>
      <c r="U22" s="298"/>
      <c r="V22" s="298"/>
      <c r="W22" s="298"/>
      <c r="X22" s="208"/>
      <c r="Y22" s="298"/>
      <c r="Z22" s="298"/>
      <c r="AA22" s="298"/>
      <c r="AB22" s="208"/>
      <c r="AC22" s="208"/>
    </row>
    <row r="23" spans="1:37" ht="18.75" customHeight="1" thickBot="1">
      <c r="A23" s="160"/>
      <c r="B23" s="160"/>
      <c r="C23" s="160"/>
      <c r="D23" s="160"/>
      <c r="E23" s="160"/>
      <c r="F23" s="1582"/>
      <c r="G23" s="1583"/>
      <c r="H23" s="164"/>
      <c r="I23" s="164"/>
      <c r="J23" s="164"/>
      <c r="K23" s="164"/>
      <c r="L23" s="164"/>
      <c r="M23" s="164"/>
      <c r="N23" s="164"/>
      <c r="O23" s="1588"/>
      <c r="P23" s="206"/>
      <c r="Q23" s="231">
        <v>2015</v>
      </c>
      <c r="R23" s="305"/>
      <c r="S23" s="317"/>
      <c r="T23" s="306">
        <v>2016</v>
      </c>
      <c r="U23" s="299"/>
      <c r="V23" s="299"/>
      <c r="W23" s="299"/>
      <c r="X23" s="209"/>
      <c r="Y23" s="299"/>
      <c r="Z23" s="299"/>
      <c r="AA23" s="299"/>
      <c r="AB23" s="209"/>
      <c r="AC23" s="209"/>
    </row>
    <row r="24" spans="1:37" ht="15" thickBot="1">
      <c r="A24" s="160"/>
      <c r="B24" s="160"/>
      <c r="C24" s="160"/>
      <c r="D24" s="160"/>
      <c r="E24" s="160"/>
      <c r="F24" s="167" t="s">
        <v>392</v>
      </c>
      <c r="G24" s="168"/>
      <c r="H24" s="168"/>
      <c r="I24" s="168"/>
      <c r="J24" s="168"/>
      <c r="K24" s="168"/>
      <c r="L24" s="168"/>
      <c r="M24" s="168"/>
      <c r="N24" s="168"/>
      <c r="O24" s="221">
        <v>19600</v>
      </c>
      <c r="P24" s="169"/>
      <c r="Q24" s="232">
        <v>10506</v>
      </c>
      <c r="R24" s="307"/>
      <c r="S24" s="318"/>
      <c r="T24" s="308">
        <v>3700</v>
      </c>
      <c r="U24" s="300"/>
      <c r="V24" s="300"/>
      <c r="W24" s="300"/>
      <c r="X24" s="210"/>
      <c r="Y24" s="300"/>
      <c r="Z24" s="300"/>
      <c r="AA24" s="300"/>
      <c r="AB24" s="210"/>
      <c r="AC24" s="210"/>
    </row>
    <row r="25" spans="1:37">
      <c r="A25" s="160"/>
      <c r="B25" s="160"/>
      <c r="C25" s="160"/>
      <c r="D25" s="160"/>
      <c r="E25" s="160"/>
      <c r="F25" s="1575" t="s">
        <v>393</v>
      </c>
      <c r="G25" s="1576"/>
      <c r="H25" s="171"/>
      <c r="I25" s="171"/>
      <c r="J25" s="171"/>
      <c r="K25" s="171"/>
      <c r="L25" s="171" t="s">
        <v>30</v>
      </c>
      <c r="M25" s="171"/>
      <c r="N25" s="171"/>
      <c r="O25" s="222">
        <v>19600</v>
      </c>
      <c r="P25" s="171"/>
      <c r="Q25" s="233">
        <v>10500</v>
      </c>
      <c r="R25" s="309"/>
      <c r="S25" s="319"/>
      <c r="T25" s="310">
        <v>3700</v>
      </c>
      <c r="U25" s="301"/>
      <c r="V25" s="301"/>
      <c r="W25" s="301"/>
      <c r="X25" s="211"/>
      <c r="Y25" s="301"/>
      <c r="Z25" s="301"/>
      <c r="AA25" s="301"/>
      <c r="AB25" s="211"/>
      <c r="AC25" s="211"/>
    </row>
    <row r="26" spans="1:37">
      <c r="A26" s="160"/>
      <c r="B26" s="160"/>
      <c r="C26" s="160"/>
      <c r="D26" s="160"/>
      <c r="E26" s="160"/>
      <c r="F26" s="173" t="s">
        <v>394</v>
      </c>
      <c r="G26" s="174"/>
      <c r="H26" s="175"/>
      <c r="I26" s="175"/>
      <c r="J26" s="175"/>
      <c r="K26" s="175"/>
      <c r="L26" s="175"/>
      <c r="M26" s="175"/>
      <c r="N26" s="175"/>
      <c r="O26" s="223"/>
      <c r="P26" s="176"/>
      <c r="Q26" s="234">
        <v>6</v>
      </c>
      <c r="R26" s="311"/>
      <c r="S26" s="320"/>
      <c r="T26" s="312"/>
      <c r="U26" s="302"/>
      <c r="V26" s="302"/>
      <c r="W26" s="302"/>
      <c r="X26" s="212"/>
      <c r="Y26" s="302"/>
      <c r="Z26" s="302"/>
      <c r="AA26" s="302"/>
      <c r="AB26" s="212"/>
      <c r="AC26" s="212"/>
      <c r="AH26" s="136">
        <v>700</v>
      </c>
      <c r="AJ26" s="136">
        <f>AH26</f>
        <v>700</v>
      </c>
      <c r="AK26" s="136">
        <f>AJ26+AJ27</f>
        <v>5751</v>
      </c>
    </row>
    <row r="27" spans="1:37" ht="15" thickBot="1">
      <c r="A27" s="160"/>
      <c r="B27" s="160"/>
      <c r="C27" s="160"/>
      <c r="D27" s="160"/>
      <c r="E27" s="160"/>
      <c r="F27" s="178" t="s">
        <v>395</v>
      </c>
      <c r="G27" s="179"/>
      <c r="H27" s="180"/>
      <c r="I27" s="180"/>
      <c r="J27" s="180"/>
      <c r="K27" s="180"/>
      <c r="L27" s="180"/>
      <c r="M27" s="180"/>
      <c r="N27" s="180"/>
      <c r="O27" s="224">
        <v>0</v>
      </c>
      <c r="P27" s="181"/>
      <c r="Q27" s="235">
        <v>0</v>
      </c>
      <c r="R27" s="313"/>
      <c r="S27" s="321"/>
      <c r="T27" s="314">
        <v>0</v>
      </c>
      <c r="U27" s="303"/>
      <c r="V27" s="324"/>
      <c r="W27" s="303"/>
      <c r="X27" s="213"/>
      <c r="Y27" s="303"/>
      <c r="Z27" s="303"/>
      <c r="AA27" s="303"/>
      <c r="AB27" s="213"/>
      <c r="AC27" s="213"/>
      <c r="AF27" s="135">
        <f>10454-600</f>
        <v>9854</v>
      </c>
      <c r="AH27" s="136">
        <v>5051</v>
      </c>
      <c r="AJ27" s="136">
        <f>AH27</f>
        <v>5051</v>
      </c>
    </row>
    <row r="28" spans="1:37">
      <c r="V28" s="323"/>
      <c r="AH28" s="136">
        <f>AF27</f>
        <v>9854</v>
      </c>
      <c r="AJ28" s="183">
        <f>S18</f>
        <v>6194</v>
      </c>
      <c r="AK28" s="136">
        <f>18600-AK26</f>
        <v>12849</v>
      </c>
    </row>
    <row r="29" spans="1:37">
      <c r="V29" s="323"/>
      <c r="AH29" s="136">
        <v>3995</v>
      </c>
      <c r="AJ29" s="183">
        <f>X18</f>
        <v>4300</v>
      </c>
    </row>
    <row r="30" spans="1:37">
      <c r="O30" s="225"/>
      <c r="P30" s="207"/>
      <c r="U30" s="325">
        <f>P18-R18</f>
        <v>5019</v>
      </c>
      <c r="AH30" s="136">
        <f>SUM(AH26:AH29)</f>
        <v>19600</v>
      </c>
      <c r="AJ30" s="183">
        <f>AC18</f>
        <v>0</v>
      </c>
    </row>
    <row r="31" spans="1:37">
      <c r="U31" s="326"/>
      <c r="AJ31" s="136">
        <f>SUM(AJ26:AJ30)</f>
        <v>16245</v>
      </c>
    </row>
    <row r="32" spans="1:37">
      <c r="U32" s="325">
        <f>S18-U18+V18</f>
        <v>5075</v>
      </c>
      <c r="V32" s="323">
        <f>S18</f>
        <v>6194</v>
      </c>
      <c r="W32" s="323">
        <f>V32-U32</f>
        <v>1119</v>
      </c>
    </row>
    <row r="33" spans="21:37">
      <c r="U33" s="325">
        <f>X18-Y18+Z18</f>
        <v>400</v>
      </c>
      <c r="V33" s="323">
        <f>X18</f>
        <v>4300</v>
      </c>
      <c r="W33" s="323">
        <f>V33-U33</f>
        <v>3900</v>
      </c>
    </row>
    <row r="34" spans="21:37">
      <c r="U34" s="325">
        <f>AB18</f>
        <v>0</v>
      </c>
      <c r="V34" s="323">
        <f>AB18</f>
        <v>0</v>
      </c>
      <c r="W34" s="323">
        <f>V34-U34</f>
        <v>0</v>
      </c>
    </row>
    <row r="35" spans="21:37">
      <c r="U35" s="325">
        <f>AC18</f>
        <v>0</v>
      </c>
      <c r="V35" s="323">
        <f>AC18</f>
        <v>0</v>
      </c>
      <c r="W35" s="323">
        <f>V35-U35</f>
        <v>0</v>
      </c>
      <c r="AK35" s="249"/>
    </row>
    <row r="36" spans="21:37">
      <c r="U36" s="325">
        <f>SUM(U32:U35)</f>
        <v>5475</v>
      </c>
      <c r="V36" s="325">
        <f>SUM(V32:V35)</f>
        <v>10494</v>
      </c>
      <c r="W36" s="325">
        <f>SUM(W32:W35)</f>
        <v>5019</v>
      </c>
    </row>
    <row r="37" spans="21:37">
      <c r="U37" s="326"/>
    </row>
    <row r="38" spans="21:37">
      <c r="V38" s="323">
        <f>V36-U36</f>
        <v>5019</v>
      </c>
    </row>
  </sheetData>
  <mergeCells count="13">
    <mergeCell ref="F25:G25"/>
    <mergeCell ref="AE11:AE13"/>
    <mergeCell ref="F22:G23"/>
    <mergeCell ref="A18:B18"/>
    <mergeCell ref="A19:B19"/>
    <mergeCell ref="O22:O23"/>
    <mergeCell ref="Q22:T22"/>
    <mergeCell ref="P3:AG3"/>
    <mergeCell ref="A2:AG2"/>
    <mergeCell ref="AE7:AE9"/>
    <mergeCell ref="A1:AG1"/>
    <mergeCell ref="A3:A4"/>
    <mergeCell ref="B3:B4"/>
  </mergeCells>
  <phoneticPr fontId="6" type="noConversion"/>
  <printOptions horizontalCentered="1"/>
  <pageMargins left="0.19685039370078741" right="0.19685039370078741" top="0.98425196850393704" bottom="0.19685039370078741" header="0.39370078740157483" footer="0.39370078740157483"/>
  <pageSetup paperSize="8" scale="90" fitToHeight="2" orientation="portrait" copies="4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7"/>
  <sheetViews>
    <sheetView topLeftCell="A7" zoomScaleSheetLayoutView="100" workbookViewId="0">
      <selection activeCell="B15" sqref="B15"/>
    </sheetView>
  </sheetViews>
  <sheetFormatPr defaultColWidth="9.140625" defaultRowHeight="14.25" outlineLevelRow="1" outlineLevelCol="1"/>
  <cols>
    <col min="1" max="1" width="4.5703125" style="136" customWidth="1"/>
    <col min="2" max="2" width="51.42578125" style="136" customWidth="1"/>
    <col min="3" max="3" width="16.42578125" style="136" hidden="1" customWidth="1" outlineLevel="1"/>
    <col min="4" max="4" width="25.28515625" style="136" hidden="1" customWidth="1" outlineLevel="1"/>
    <col min="5" max="5" width="21.42578125" style="136" hidden="1" customWidth="1" outlineLevel="1"/>
    <col min="6" max="6" width="16.42578125" style="136" hidden="1" customWidth="1" outlineLevel="1"/>
    <col min="7" max="7" width="10.28515625" style="136" hidden="1" customWidth="1" outlineLevel="1"/>
    <col min="8" max="8" width="8.140625" style="136" hidden="1" customWidth="1" outlineLevel="1"/>
    <col min="9" max="9" width="6.7109375" style="136" hidden="1" customWidth="1" outlineLevel="1"/>
    <col min="10" max="10" width="8.28515625" style="136" hidden="1" customWidth="1" outlineLevel="1"/>
    <col min="11" max="11" width="7" style="136" hidden="1" customWidth="1" outlineLevel="1"/>
    <col min="12" max="12" width="7.140625" style="136" hidden="1" customWidth="1" outlineLevel="1"/>
    <col min="13" max="13" width="7.7109375" style="136" hidden="1" customWidth="1" outlineLevel="1"/>
    <col min="14" max="14" width="10.140625" style="136" hidden="1" customWidth="1" outlineLevel="1"/>
    <col min="15" max="15" width="14.42578125" style="226" hidden="1" customWidth="1" outlineLevel="1" collapsed="1"/>
    <col min="16" max="16" width="6.42578125" style="135" hidden="1" customWidth="1" collapsed="1"/>
    <col min="17" max="17" width="6.85546875" style="236" hidden="1" customWidth="1" outlineLevel="1"/>
    <col min="18" max="18" width="7" style="185" customWidth="1" outlineLevel="1"/>
    <col min="19" max="19" width="5.7109375" style="185" hidden="1" customWidth="1"/>
    <col min="20" max="20" width="7.140625" style="185" hidden="1" customWidth="1" outlineLevel="1"/>
    <col min="21" max="22" width="6.7109375" style="185" hidden="1" customWidth="1" outlineLevel="1"/>
    <col min="23" max="23" width="8.7109375" style="185" customWidth="1" outlineLevel="1"/>
    <col min="24" max="24" width="5.7109375" style="185" hidden="1" customWidth="1"/>
    <col min="25" max="26" width="6.7109375" style="185" hidden="1" customWidth="1"/>
    <col min="27" max="27" width="8.7109375" style="185" customWidth="1"/>
    <col min="28" max="29" width="8.7109375" style="184" customWidth="1"/>
    <col min="30" max="30" width="9.140625" style="226" hidden="1" customWidth="1" outlineLevel="1"/>
    <col min="31" max="31" width="21.42578125" style="159" hidden="1" customWidth="1" outlineLevel="1"/>
    <col min="32" max="32" width="8.7109375" style="135" customWidth="1" collapsed="1"/>
    <col min="33" max="33" width="25.5703125" style="341" customWidth="1"/>
    <col min="34" max="16384" width="9.140625" style="136"/>
  </cols>
  <sheetData>
    <row r="1" spans="1:35" ht="40.5" customHeight="1">
      <c r="A1" s="1591" t="s">
        <v>460</v>
      </c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1591"/>
      <c r="Q1" s="1591"/>
      <c r="R1" s="1591"/>
      <c r="S1" s="1591"/>
      <c r="T1" s="1591"/>
      <c r="U1" s="1591"/>
      <c r="V1" s="1591"/>
      <c r="W1" s="1591"/>
      <c r="X1" s="1591"/>
      <c r="Y1" s="1591"/>
      <c r="Z1" s="1591"/>
      <c r="AA1" s="1591"/>
      <c r="AB1" s="1591"/>
      <c r="AC1" s="1591"/>
      <c r="AD1" s="1591"/>
      <c r="AE1" s="1591"/>
      <c r="AF1" s="1591"/>
      <c r="AG1" s="348"/>
    </row>
    <row r="2" spans="1:35" ht="32.25" customHeight="1">
      <c r="A2" s="1592" t="s">
        <v>461</v>
      </c>
      <c r="B2" s="1592"/>
      <c r="C2" s="1592"/>
      <c r="D2" s="1592"/>
      <c r="E2" s="1592"/>
      <c r="F2" s="1592"/>
      <c r="G2" s="1592"/>
      <c r="H2" s="1592"/>
      <c r="I2" s="1592"/>
      <c r="J2" s="1592"/>
      <c r="K2" s="1592"/>
      <c r="L2" s="1592"/>
      <c r="M2" s="1592"/>
      <c r="N2" s="1592"/>
      <c r="O2" s="1592"/>
      <c r="P2" s="1592"/>
      <c r="Q2" s="1592"/>
      <c r="R2" s="1592"/>
      <c r="S2" s="1592"/>
      <c r="T2" s="1592"/>
      <c r="U2" s="1592"/>
      <c r="V2" s="1592"/>
      <c r="W2" s="1592"/>
      <c r="X2" s="1592"/>
      <c r="Y2" s="1592"/>
      <c r="Z2" s="1592"/>
      <c r="AA2" s="1592"/>
      <c r="AB2" s="1592"/>
      <c r="AC2" s="1592"/>
      <c r="AD2" s="1592"/>
      <c r="AE2" s="1592"/>
      <c r="AF2" s="1592"/>
      <c r="AG2" s="349"/>
    </row>
    <row r="3" spans="1:35" ht="16.5" customHeight="1">
      <c r="A3" s="1574" t="s">
        <v>14</v>
      </c>
      <c r="B3" s="1574" t="s">
        <v>17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570" t="s">
        <v>113</v>
      </c>
      <c r="S3" s="1570"/>
      <c r="T3" s="1570"/>
      <c r="U3" s="1570"/>
      <c r="V3" s="1570"/>
      <c r="W3" s="1570"/>
      <c r="X3" s="1570"/>
      <c r="Y3" s="1570"/>
      <c r="Z3" s="1570"/>
      <c r="AA3" s="1570"/>
      <c r="AB3" s="1570"/>
      <c r="AC3" s="1570"/>
      <c r="AD3" s="1570"/>
      <c r="AE3" s="1570"/>
      <c r="AF3" s="1570"/>
      <c r="AG3" s="350"/>
    </row>
    <row r="4" spans="1:35" ht="76.5" customHeight="1">
      <c r="A4" s="1574"/>
      <c r="B4" s="1574"/>
      <c r="C4" s="138" t="s">
        <v>381</v>
      </c>
      <c r="D4" s="138" t="s">
        <v>382</v>
      </c>
      <c r="E4" s="138" t="s">
        <v>396</v>
      </c>
      <c r="F4" s="138" t="s">
        <v>383</v>
      </c>
      <c r="G4" s="138" t="s">
        <v>384</v>
      </c>
      <c r="H4" s="138" t="s">
        <v>385</v>
      </c>
      <c r="I4" s="138" t="s">
        <v>378</v>
      </c>
      <c r="J4" s="138" t="s">
        <v>379</v>
      </c>
      <c r="K4" s="138" t="s">
        <v>380</v>
      </c>
      <c r="L4" s="138">
        <v>2016</v>
      </c>
      <c r="M4" s="138">
        <v>2017</v>
      </c>
      <c r="N4" s="322" t="s">
        <v>386</v>
      </c>
      <c r="O4" s="346" t="s">
        <v>216</v>
      </c>
      <c r="P4" s="347" t="s">
        <v>368</v>
      </c>
      <c r="Q4" s="227" t="s">
        <v>446</v>
      </c>
      <c r="R4" s="333" t="s">
        <v>108</v>
      </c>
      <c r="S4" s="139">
        <v>2015</v>
      </c>
      <c r="T4" s="139" t="s">
        <v>447</v>
      </c>
      <c r="U4" s="333" t="s">
        <v>345</v>
      </c>
      <c r="V4" s="333" t="s">
        <v>346</v>
      </c>
      <c r="W4" s="139">
        <v>2015</v>
      </c>
      <c r="X4" s="139">
        <v>2016</v>
      </c>
      <c r="Y4" s="333" t="s">
        <v>345</v>
      </c>
      <c r="Z4" s="333" t="s">
        <v>346</v>
      </c>
      <c r="AA4" s="139">
        <v>2016</v>
      </c>
      <c r="AB4" s="139">
        <v>2017</v>
      </c>
      <c r="AC4" s="139">
        <v>2018</v>
      </c>
      <c r="AD4" s="283" t="s">
        <v>464</v>
      </c>
      <c r="AE4" s="284" t="s">
        <v>464</v>
      </c>
      <c r="AF4" s="285" t="s">
        <v>465</v>
      </c>
      <c r="AG4" s="342" t="s">
        <v>170</v>
      </c>
    </row>
    <row r="5" spans="1:35" s="290" customFormat="1" ht="12.75">
      <c r="A5" s="140">
        <v>1</v>
      </c>
      <c r="B5" s="140">
        <v>2</v>
      </c>
      <c r="C5" s="287">
        <v>2</v>
      </c>
      <c r="D5" s="287">
        <v>3</v>
      </c>
      <c r="E5" s="288">
        <v>4</v>
      </c>
      <c r="F5" s="288">
        <v>5</v>
      </c>
      <c r="G5" s="288">
        <v>6</v>
      </c>
      <c r="H5" s="288">
        <v>7</v>
      </c>
      <c r="I5" s="288">
        <v>8</v>
      </c>
      <c r="J5" s="288">
        <v>9</v>
      </c>
      <c r="K5" s="288">
        <v>10</v>
      </c>
      <c r="L5" s="288">
        <v>11</v>
      </c>
      <c r="M5" s="288">
        <v>12</v>
      </c>
      <c r="N5" s="288">
        <v>13</v>
      </c>
      <c r="O5" s="217">
        <v>3</v>
      </c>
      <c r="P5" s="141">
        <v>3</v>
      </c>
      <c r="Q5" s="217">
        <v>6</v>
      </c>
      <c r="R5" s="141">
        <v>3</v>
      </c>
      <c r="S5" s="141">
        <v>4</v>
      </c>
      <c r="T5" s="141">
        <v>7</v>
      </c>
      <c r="U5" s="141" t="s">
        <v>175</v>
      </c>
      <c r="V5" s="141" t="s">
        <v>176</v>
      </c>
      <c r="W5" s="141">
        <v>4</v>
      </c>
      <c r="X5" s="141">
        <v>5</v>
      </c>
      <c r="Y5" s="141" t="s">
        <v>179</v>
      </c>
      <c r="Z5" s="141" t="s">
        <v>180</v>
      </c>
      <c r="AA5" s="141">
        <v>5</v>
      </c>
      <c r="AB5" s="141">
        <v>6</v>
      </c>
      <c r="AC5" s="141">
        <v>7</v>
      </c>
      <c r="AD5" s="217">
        <v>8</v>
      </c>
      <c r="AE5" s="142">
        <v>9</v>
      </c>
      <c r="AF5" s="289">
        <v>8</v>
      </c>
      <c r="AG5" s="165">
        <v>9</v>
      </c>
    </row>
    <row r="6" spans="1:35" ht="71.25" customHeight="1">
      <c r="A6" s="138">
        <v>1</v>
      </c>
      <c r="B6" s="186" t="s">
        <v>172</v>
      </c>
      <c r="C6" s="186"/>
      <c r="D6" s="187"/>
      <c r="E6" s="187"/>
      <c r="F6" s="187"/>
      <c r="G6" s="187"/>
      <c r="H6" s="188"/>
      <c r="I6" s="188"/>
      <c r="J6" s="188"/>
      <c r="K6" s="188"/>
      <c r="L6" s="188"/>
      <c r="M6" s="188"/>
      <c r="N6" s="189"/>
      <c r="O6" s="218">
        <f t="shared" ref="O6:O17" si="0">Q6+T6+AD6</f>
        <v>1167</v>
      </c>
      <c r="P6" s="145">
        <f>S6+X6+AB6+AC6+AF6</f>
        <v>930</v>
      </c>
      <c r="Q6" s="228">
        <f>1067+100</f>
        <v>1167</v>
      </c>
      <c r="R6" s="146">
        <f>W6+AA6+AB6+AC6+AF6</f>
        <v>930</v>
      </c>
      <c r="S6" s="146">
        <v>930</v>
      </c>
      <c r="T6" s="146"/>
      <c r="U6" s="146"/>
      <c r="V6" s="146"/>
      <c r="W6" s="146">
        <f t="shared" ref="W6:W16" si="1">S6-U6+V6</f>
        <v>930</v>
      </c>
      <c r="X6" s="146"/>
      <c r="Y6" s="146"/>
      <c r="Z6" s="146"/>
      <c r="AA6" s="146">
        <f>X6-Y6+Z6</f>
        <v>0</v>
      </c>
      <c r="AB6" s="190"/>
      <c r="AC6" s="190"/>
      <c r="AD6" s="237"/>
      <c r="AE6" s="191" t="s">
        <v>443</v>
      </c>
      <c r="AF6" s="214"/>
      <c r="AG6" s="238" t="s">
        <v>337</v>
      </c>
    </row>
    <row r="7" spans="1:35" ht="57.75" customHeight="1">
      <c r="A7" s="138">
        <v>2</v>
      </c>
      <c r="B7" s="186" t="s">
        <v>435</v>
      </c>
      <c r="C7" s="186"/>
      <c r="D7" s="187"/>
      <c r="E7" s="187"/>
      <c r="F7" s="187"/>
      <c r="G7" s="187"/>
      <c r="H7" s="188"/>
      <c r="I7" s="188"/>
      <c r="J7" s="188"/>
      <c r="K7" s="188"/>
      <c r="L7" s="188"/>
      <c r="M7" s="188"/>
      <c r="N7" s="189"/>
      <c r="O7" s="218">
        <f t="shared" si="0"/>
        <v>6400</v>
      </c>
      <c r="P7" s="145">
        <f t="shared" ref="P7:P17" si="2">S7+X7+AB7+AC7+AF7</f>
        <v>5400</v>
      </c>
      <c r="Q7" s="228">
        <v>4000</v>
      </c>
      <c r="R7" s="146">
        <f t="shared" ref="R7:R17" si="3">W7+AA7+AB7+AC7+AF7</f>
        <v>0</v>
      </c>
      <c r="S7" s="146">
        <v>1500</v>
      </c>
      <c r="T7" s="146">
        <v>2400</v>
      </c>
      <c r="U7" s="146">
        <v>1500</v>
      </c>
      <c r="V7" s="146"/>
      <c r="W7" s="146">
        <f t="shared" si="1"/>
        <v>0</v>
      </c>
      <c r="X7" s="146">
        <v>3900</v>
      </c>
      <c r="Y7" s="146">
        <v>3900</v>
      </c>
      <c r="Z7" s="146"/>
      <c r="AA7" s="146">
        <f t="shared" ref="AA7:AA17" si="4">X7-Y7+Z7</f>
        <v>0</v>
      </c>
      <c r="AB7" s="190"/>
      <c r="AC7" s="190"/>
      <c r="AD7" s="237"/>
      <c r="AE7" s="1572" t="s">
        <v>444</v>
      </c>
      <c r="AF7" s="214"/>
      <c r="AG7" s="238" t="s">
        <v>338</v>
      </c>
      <c r="AH7" s="183">
        <f>S7+X7+AB7</f>
        <v>5400</v>
      </c>
    </row>
    <row r="8" spans="1:35" ht="48" customHeight="1">
      <c r="A8" s="138">
        <v>3</v>
      </c>
      <c r="B8" s="186" t="s">
        <v>472</v>
      </c>
      <c r="C8" s="186"/>
      <c r="D8" s="187"/>
      <c r="E8" s="187"/>
      <c r="F8" s="187"/>
      <c r="G8" s="187"/>
      <c r="H8" s="188"/>
      <c r="I8" s="188"/>
      <c r="J8" s="188"/>
      <c r="K8" s="188"/>
      <c r="L8" s="188"/>
      <c r="M8" s="188"/>
      <c r="N8" s="189"/>
      <c r="O8" s="218">
        <f t="shared" si="0"/>
        <v>0</v>
      </c>
      <c r="P8" s="145">
        <f t="shared" si="2"/>
        <v>340</v>
      </c>
      <c r="Q8" s="228"/>
      <c r="R8" s="146">
        <f t="shared" si="3"/>
        <v>585</v>
      </c>
      <c r="S8" s="146">
        <v>340</v>
      </c>
      <c r="T8" s="146"/>
      <c r="U8" s="146"/>
      <c r="V8" s="146">
        <v>245</v>
      </c>
      <c r="W8" s="146">
        <v>585</v>
      </c>
      <c r="X8" s="146"/>
      <c r="Y8" s="146"/>
      <c r="Z8" s="146"/>
      <c r="AA8" s="146">
        <f t="shared" si="4"/>
        <v>0</v>
      </c>
      <c r="AB8" s="190"/>
      <c r="AC8" s="190"/>
      <c r="AD8" s="237"/>
      <c r="AE8" s="1572"/>
      <c r="AF8" s="214"/>
      <c r="AG8" s="238" t="s">
        <v>341</v>
      </c>
      <c r="AI8" s="286"/>
    </row>
    <row r="9" spans="1:35" ht="78" customHeight="1">
      <c r="A9" s="138">
        <v>4</v>
      </c>
      <c r="B9" s="186" t="s">
        <v>436</v>
      </c>
      <c r="C9" s="186"/>
      <c r="D9" s="187"/>
      <c r="E9" s="187"/>
      <c r="F9" s="187"/>
      <c r="G9" s="187"/>
      <c r="H9" s="188"/>
      <c r="I9" s="188"/>
      <c r="J9" s="188"/>
      <c r="K9" s="188"/>
      <c r="L9" s="188"/>
      <c r="M9" s="188"/>
      <c r="N9" s="189"/>
      <c r="O9" s="218">
        <f t="shared" si="0"/>
        <v>0</v>
      </c>
      <c r="P9" s="145">
        <f t="shared" si="2"/>
        <v>890</v>
      </c>
      <c r="Q9" s="228"/>
      <c r="R9" s="146">
        <f t="shared" si="3"/>
        <v>890</v>
      </c>
      <c r="S9" s="146">
        <v>890</v>
      </c>
      <c r="T9" s="146"/>
      <c r="U9" s="146"/>
      <c r="V9" s="146"/>
      <c r="W9" s="146">
        <f t="shared" si="1"/>
        <v>890</v>
      </c>
      <c r="X9" s="146"/>
      <c r="Y9" s="146"/>
      <c r="Z9" s="146"/>
      <c r="AA9" s="146">
        <f t="shared" si="4"/>
        <v>0</v>
      </c>
      <c r="AB9" s="190"/>
      <c r="AC9" s="190"/>
      <c r="AD9" s="237"/>
      <c r="AE9" s="1572"/>
      <c r="AF9" s="216"/>
      <c r="AG9" s="238" t="s">
        <v>342</v>
      </c>
    </row>
    <row r="10" spans="1:35" ht="28.5" customHeight="1">
      <c r="A10" s="138">
        <v>5</v>
      </c>
      <c r="B10" s="186" t="s">
        <v>471</v>
      </c>
      <c r="C10" s="186"/>
      <c r="D10" s="187"/>
      <c r="E10" s="187"/>
      <c r="F10" s="187"/>
      <c r="G10" s="187"/>
      <c r="H10" s="188"/>
      <c r="I10" s="188"/>
      <c r="J10" s="188"/>
      <c r="K10" s="188"/>
      <c r="L10" s="188"/>
      <c r="M10" s="188"/>
      <c r="N10" s="189"/>
      <c r="O10" s="218">
        <f t="shared" si="0"/>
        <v>0</v>
      </c>
      <c r="P10" s="145">
        <f t="shared" si="2"/>
        <v>600</v>
      </c>
      <c r="Q10" s="228"/>
      <c r="R10" s="146">
        <f t="shared" si="3"/>
        <v>600</v>
      </c>
      <c r="S10" s="146">
        <v>600</v>
      </c>
      <c r="T10" s="146"/>
      <c r="U10" s="146"/>
      <c r="V10" s="146"/>
      <c r="W10" s="146">
        <f t="shared" si="1"/>
        <v>600</v>
      </c>
      <c r="X10" s="146"/>
      <c r="Y10" s="146"/>
      <c r="Z10" s="146"/>
      <c r="AA10" s="146">
        <f t="shared" si="4"/>
        <v>0</v>
      </c>
      <c r="AB10" s="190"/>
      <c r="AC10" s="190"/>
      <c r="AD10" s="237"/>
      <c r="AE10" s="191"/>
      <c r="AF10" s="214"/>
      <c r="AG10" s="238" t="s">
        <v>339</v>
      </c>
    </row>
    <row r="11" spans="1:35" ht="63" customHeight="1">
      <c r="A11" s="138">
        <v>6</v>
      </c>
      <c r="B11" s="186" t="s">
        <v>438</v>
      </c>
      <c r="C11" s="186"/>
      <c r="D11" s="193"/>
      <c r="E11" s="187"/>
      <c r="F11" s="187"/>
      <c r="G11" s="187"/>
      <c r="H11" s="188"/>
      <c r="I11" s="188"/>
      <c r="J11" s="188"/>
      <c r="K11" s="188"/>
      <c r="L11" s="188"/>
      <c r="M11" s="188"/>
      <c r="N11" s="189"/>
      <c r="O11" s="218">
        <f t="shared" si="0"/>
        <v>650</v>
      </c>
      <c r="P11" s="145">
        <f t="shared" si="2"/>
        <v>650</v>
      </c>
      <c r="Q11" s="228">
        <v>650</v>
      </c>
      <c r="R11" s="146">
        <f t="shared" si="3"/>
        <v>650</v>
      </c>
      <c r="S11" s="146">
        <f>Q11</f>
        <v>650</v>
      </c>
      <c r="T11" s="146"/>
      <c r="U11" s="146"/>
      <c r="V11" s="146"/>
      <c r="W11" s="146">
        <f t="shared" si="1"/>
        <v>650</v>
      </c>
      <c r="X11" s="146"/>
      <c r="Y11" s="146"/>
      <c r="Z11" s="146"/>
      <c r="AA11" s="146">
        <f t="shared" si="4"/>
        <v>0</v>
      </c>
      <c r="AB11" s="190"/>
      <c r="AC11" s="190"/>
      <c r="AD11" s="237"/>
      <c r="AE11" s="1577" t="s">
        <v>443</v>
      </c>
      <c r="AF11" s="214"/>
      <c r="AG11" s="338" t="s">
        <v>343</v>
      </c>
    </row>
    <row r="12" spans="1:35" ht="95.25" customHeight="1">
      <c r="A12" s="138">
        <v>7</v>
      </c>
      <c r="B12" s="143" t="s">
        <v>437</v>
      </c>
      <c r="C12" s="186"/>
      <c r="D12" s="193"/>
      <c r="E12" s="187"/>
      <c r="F12" s="187"/>
      <c r="G12" s="187"/>
      <c r="H12" s="188"/>
      <c r="I12" s="188"/>
      <c r="J12" s="188"/>
      <c r="K12" s="188"/>
      <c r="L12" s="188"/>
      <c r="M12" s="188"/>
      <c r="N12" s="189"/>
      <c r="O12" s="218">
        <f t="shared" si="0"/>
        <v>900</v>
      </c>
      <c r="P12" s="145">
        <f t="shared" si="2"/>
        <v>850</v>
      </c>
      <c r="Q12" s="228">
        <v>900</v>
      </c>
      <c r="R12" s="146">
        <f t="shared" si="3"/>
        <v>850</v>
      </c>
      <c r="S12" s="146">
        <f>200+250</f>
        <v>450</v>
      </c>
      <c r="T12" s="146"/>
      <c r="U12" s="146"/>
      <c r="V12" s="146"/>
      <c r="W12" s="146">
        <f t="shared" si="1"/>
        <v>450</v>
      </c>
      <c r="X12" s="146">
        <f>200+200</f>
        <v>400</v>
      </c>
      <c r="Y12" s="146"/>
      <c r="Z12" s="146"/>
      <c r="AA12" s="146">
        <f t="shared" si="4"/>
        <v>400</v>
      </c>
      <c r="AB12" s="190"/>
      <c r="AC12" s="190"/>
      <c r="AD12" s="237"/>
      <c r="AE12" s="1578"/>
      <c r="AF12" s="214"/>
      <c r="AG12" s="338" t="s">
        <v>344</v>
      </c>
    </row>
    <row r="13" spans="1:35" ht="69" hidden="1" customHeight="1" outlineLevel="1">
      <c r="A13" s="138">
        <v>8</v>
      </c>
      <c r="B13" s="292" t="s">
        <v>473</v>
      </c>
      <c r="C13" s="186"/>
      <c r="D13" s="193"/>
      <c r="E13" s="187"/>
      <c r="F13" s="187"/>
      <c r="G13" s="187"/>
      <c r="H13" s="188"/>
      <c r="I13" s="188"/>
      <c r="J13" s="188"/>
      <c r="K13" s="188"/>
      <c r="L13" s="188"/>
      <c r="M13" s="188"/>
      <c r="N13" s="189"/>
      <c r="O13" s="218">
        <f t="shared" si="0"/>
        <v>450</v>
      </c>
      <c r="P13" s="145">
        <f t="shared" si="2"/>
        <v>0</v>
      </c>
      <c r="Q13" s="228">
        <v>450</v>
      </c>
      <c r="R13" s="146">
        <f t="shared" si="3"/>
        <v>0</v>
      </c>
      <c r="S13" s="146">
        <f>250*0</f>
        <v>0</v>
      </c>
      <c r="T13" s="146"/>
      <c r="U13" s="146"/>
      <c r="V13" s="146"/>
      <c r="W13" s="146">
        <f t="shared" si="1"/>
        <v>0</v>
      </c>
      <c r="X13" s="146">
        <f>200*0</f>
        <v>0</v>
      </c>
      <c r="Y13" s="146"/>
      <c r="Z13" s="146"/>
      <c r="AA13" s="146">
        <f t="shared" si="4"/>
        <v>0</v>
      </c>
      <c r="AB13" s="190"/>
      <c r="AC13" s="190"/>
      <c r="AD13" s="237"/>
      <c r="AE13" s="1579"/>
      <c r="AF13" s="214"/>
      <c r="AG13" s="339"/>
    </row>
    <row r="14" spans="1:35" ht="60.75" customHeight="1" collapsed="1">
      <c r="A14" s="138">
        <v>8</v>
      </c>
      <c r="B14" s="186" t="s">
        <v>474</v>
      </c>
      <c r="C14" s="186"/>
      <c r="D14" s="193"/>
      <c r="E14" s="187"/>
      <c r="F14" s="187"/>
      <c r="G14" s="187"/>
      <c r="H14" s="188"/>
      <c r="I14" s="188"/>
      <c r="J14" s="188"/>
      <c r="K14" s="188"/>
      <c r="L14" s="188"/>
      <c r="M14" s="188"/>
      <c r="N14" s="189"/>
      <c r="O14" s="218"/>
      <c r="P14" s="145">
        <f t="shared" si="2"/>
        <v>700</v>
      </c>
      <c r="Q14" s="228"/>
      <c r="R14" s="146">
        <f t="shared" si="3"/>
        <v>700</v>
      </c>
      <c r="S14" s="146">
        <v>700</v>
      </c>
      <c r="T14" s="146"/>
      <c r="U14" s="146"/>
      <c r="V14" s="146"/>
      <c r="W14" s="146">
        <f t="shared" si="1"/>
        <v>700</v>
      </c>
      <c r="X14" s="146"/>
      <c r="Y14" s="146"/>
      <c r="Z14" s="146"/>
      <c r="AA14" s="146">
        <f t="shared" si="4"/>
        <v>0</v>
      </c>
      <c r="AB14" s="190"/>
      <c r="AC14" s="190"/>
      <c r="AD14" s="237"/>
      <c r="AE14" s="200"/>
      <c r="AF14" s="214"/>
      <c r="AG14" s="238" t="s">
        <v>337</v>
      </c>
    </row>
    <row r="15" spans="1:35" ht="47.25" customHeight="1">
      <c r="A15" s="138">
        <v>9</v>
      </c>
      <c r="B15" s="186" t="s">
        <v>470</v>
      </c>
      <c r="C15" s="186"/>
      <c r="D15" s="193"/>
      <c r="E15" s="187"/>
      <c r="F15" s="187"/>
      <c r="G15" s="187"/>
      <c r="H15" s="188"/>
      <c r="I15" s="188"/>
      <c r="J15" s="188"/>
      <c r="K15" s="188"/>
      <c r="L15" s="188"/>
      <c r="M15" s="188"/>
      <c r="N15" s="189"/>
      <c r="O15" s="218">
        <f t="shared" si="0"/>
        <v>2522</v>
      </c>
      <c r="P15" s="145">
        <f>S15+X15+AB15+AC15+AF15</f>
        <v>134</v>
      </c>
      <c r="Q15" s="228">
        <f>SUM(Q16:Q17)</f>
        <v>927</v>
      </c>
      <c r="R15" s="146">
        <f t="shared" si="3"/>
        <v>270</v>
      </c>
      <c r="S15" s="146">
        <f>SUM(S16:S17)</f>
        <v>134</v>
      </c>
      <c r="T15" s="146">
        <f>SUM(T16:T17)</f>
        <v>1595</v>
      </c>
      <c r="U15" s="146"/>
      <c r="V15" s="146">
        <f>SUM(V16:V17)</f>
        <v>136</v>
      </c>
      <c r="W15" s="146">
        <f t="shared" si="1"/>
        <v>270</v>
      </c>
      <c r="X15" s="146">
        <f>X16+X17</f>
        <v>0</v>
      </c>
      <c r="Y15" s="146">
        <f>SUM(Y16:Y17)</f>
        <v>0</v>
      </c>
      <c r="Z15" s="146">
        <f>SUM(Z16:Z17)</f>
        <v>0</v>
      </c>
      <c r="AA15" s="146">
        <f t="shared" si="4"/>
        <v>0</v>
      </c>
      <c r="AB15" s="190"/>
      <c r="AC15" s="190"/>
      <c r="AD15" s="228"/>
      <c r="AE15" s="192"/>
      <c r="AF15" s="214"/>
      <c r="AG15" s="340"/>
    </row>
    <row r="16" spans="1:35" ht="98.25" hidden="1" customHeight="1" outlineLevel="1">
      <c r="A16" s="137" t="s">
        <v>351</v>
      </c>
      <c r="B16" s="186" t="s">
        <v>439</v>
      </c>
      <c r="C16" s="186"/>
      <c r="D16" s="193"/>
      <c r="E16" s="187"/>
      <c r="F16" s="187"/>
      <c r="G16" s="187"/>
      <c r="H16" s="188"/>
      <c r="I16" s="188"/>
      <c r="J16" s="188"/>
      <c r="K16" s="188"/>
      <c r="L16" s="188"/>
      <c r="M16" s="188"/>
      <c r="N16" s="189"/>
      <c r="O16" s="218">
        <f t="shared" si="0"/>
        <v>527</v>
      </c>
      <c r="P16" s="145">
        <f t="shared" si="2"/>
        <v>760</v>
      </c>
      <c r="Q16" s="228">
        <v>527</v>
      </c>
      <c r="R16" s="146">
        <f t="shared" si="3"/>
        <v>760</v>
      </c>
      <c r="S16" s="146">
        <v>0</v>
      </c>
      <c r="T16" s="146"/>
      <c r="U16" s="146"/>
      <c r="V16" s="146"/>
      <c r="W16" s="146">
        <f t="shared" si="1"/>
        <v>0</v>
      </c>
      <c r="X16" s="146"/>
      <c r="Y16" s="146"/>
      <c r="Z16" s="146"/>
      <c r="AA16" s="146">
        <f t="shared" si="4"/>
        <v>0</v>
      </c>
      <c r="AB16" s="190"/>
      <c r="AC16" s="190">
        <v>760</v>
      </c>
      <c r="AD16" s="237"/>
      <c r="AE16" s="191" t="s">
        <v>444</v>
      </c>
      <c r="AF16" s="214"/>
      <c r="AG16" s="238" t="s">
        <v>469</v>
      </c>
    </row>
    <row r="17" spans="1:37" ht="116.25" hidden="1" customHeight="1" outlineLevel="1">
      <c r="A17" s="137" t="s">
        <v>159</v>
      </c>
      <c r="B17" s="194" t="s">
        <v>404</v>
      </c>
      <c r="C17" s="194" t="s">
        <v>388</v>
      </c>
      <c r="D17" s="195" t="s">
        <v>388</v>
      </c>
      <c r="E17" s="196"/>
      <c r="F17" s="196" t="s">
        <v>389</v>
      </c>
      <c r="G17" s="197" t="s">
        <v>387</v>
      </c>
      <c r="H17" s="198">
        <v>6000</v>
      </c>
      <c r="I17" s="198"/>
      <c r="J17" s="198">
        <v>2000</v>
      </c>
      <c r="K17" s="198">
        <v>2000</v>
      </c>
      <c r="L17" s="198">
        <v>2000</v>
      </c>
      <c r="M17" s="198"/>
      <c r="N17" s="199">
        <v>1.28</v>
      </c>
      <c r="O17" s="218">
        <f t="shared" si="0"/>
        <v>1995</v>
      </c>
      <c r="P17" s="145">
        <f t="shared" si="2"/>
        <v>5885</v>
      </c>
      <c r="Q17" s="228">
        <f>69+87+44+255-55</f>
        <v>400</v>
      </c>
      <c r="R17" s="146">
        <f t="shared" si="3"/>
        <v>6021</v>
      </c>
      <c r="S17" s="146">
        <v>134</v>
      </c>
      <c r="T17" s="146">
        <f>1300-413+23+729-44</f>
        <v>1595</v>
      </c>
      <c r="U17" s="146"/>
      <c r="V17" s="146">
        <v>136</v>
      </c>
      <c r="W17" s="146">
        <v>270</v>
      </c>
      <c r="X17" s="146"/>
      <c r="Y17" s="146"/>
      <c r="Z17" s="146"/>
      <c r="AA17" s="146">
        <f t="shared" si="4"/>
        <v>0</v>
      </c>
      <c r="AB17" s="190">
        <v>2000</v>
      </c>
      <c r="AC17" s="190">
        <v>3751</v>
      </c>
      <c r="AD17" s="237"/>
      <c r="AE17" s="200" t="s">
        <v>402</v>
      </c>
      <c r="AF17" s="214"/>
      <c r="AG17" s="238" t="s">
        <v>340</v>
      </c>
    </row>
    <row r="18" spans="1:37" ht="22.5" customHeight="1" collapsed="1">
      <c r="A18" s="1584" t="s">
        <v>403</v>
      </c>
      <c r="B18" s="1585"/>
      <c r="C18" s="148"/>
      <c r="D18" s="147"/>
      <c r="E18" s="149"/>
      <c r="F18" s="149"/>
      <c r="G18" s="149"/>
      <c r="H18" s="150">
        <f t="shared" ref="H18:N18" si="5">SUM(H6:H6)</f>
        <v>0</v>
      </c>
      <c r="I18" s="150">
        <f t="shared" si="5"/>
        <v>0</v>
      </c>
      <c r="J18" s="150">
        <f t="shared" si="5"/>
        <v>0</v>
      </c>
      <c r="K18" s="150">
        <f t="shared" si="5"/>
        <v>0</v>
      </c>
      <c r="L18" s="150">
        <f t="shared" si="5"/>
        <v>0</v>
      </c>
      <c r="M18" s="150">
        <f t="shared" si="5"/>
        <v>0</v>
      </c>
      <c r="N18" s="144">
        <f t="shared" si="5"/>
        <v>0</v>
      </c>
      <c r="O18" s="145">
        <f>Q18+T18+AD18</f>
        <v>7567</v>
      </c>
      <c r="P18" s="145">
        <f>S18+X18+AB18+AC18+AF18</f>
        <v>10494</v>
      </c>
      <c r="Q18" s="291">
        <f>SUM(Q6:Q10)</f>
        <v>5167</v>
      </c>
      <c r="R18" s="146">
        <f>W18+AA18+AB18+AC18+AF18</f>
        <v>5475</v>
      </c>
      <c r="S18" s="146">
        <f>SUM(S6:S15)</f>
        <v>6194</v>
      </c>
      <c r="T18" s="146">
        <f>SUM(T6:T10)</f>
        <v>2400</v>
      </c>
      <c r="U18" s="146">
        <f>SUM(U6:U15)</f>
        <v>1500</v>
      </c>
      <c r="V18" s="146">
        <f>SUM(V6:V15)</f>
        <v>381</v>
      </c>
      <c r="W18" s="146">
        <f>S18-U18+V18</f>
        <v>5075</v>
      </c>
      <c r="X18" s="146">
        <f>SUM(X6:X15)</f>
        <v>4300</v>
      </c>
      <c r="Y18" s="146">
        <f>SUM(Y6:Y15)</f>
        <v>3900</v>
      </c>
      <c r="Z18" s="146">
        <f>SUM(Z6:Z15)</f>
        <v>0</v>
      </c>
      <c r="AA18" s="146">
        <f>X18-Y18+Z18</f>
        <v>400</v>
      </c>
      <c r="AB18" s="146">
        <f>SUM(AB6:AB15)</f>
        <v>0</v>
      </c>
      <c r="AC18" s="146">
        <f>SUM(AC6:AC15)</f>
        <v>0</v>
      </c>
      <c r="AD18" s="146"/>
      <c r="AE18" s="151"/>
      <c r="AF18" s="146">
        <f>SUM(AF6:AF15)</f>
        <v>0</v>
      </c>
      <c r="AG18" s="340"/>
    </row>
    <row r="19" spans="1:37" ht="30.75" customHeight="1">
      <c r="A19" s="1586"/>
      <c r="B19" s="1586"/>
      <c r="C19" s="152"/>
      <c r="D19" s="153"/>
      <c r="E19" s="152"/>
      <c r="F19" s="152"/>
      <c r="G19" s="152"/>
      <c r="H19" s="154"/>
      <c r="I19" s="154"/>
      <c r="J19" s="154"/>
      <c r="K19" s="154"/>
      <c r="L19" s="154"/>
      <c r="M19" s="155"/>
      <c r="N19" s="156"/>
      <c r="O19" s="219"/>
      <c r="P19" s="157"/>
      <c r="Q19" s="229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229"/>
      <c r="AF19" s="207"/>
    </row>
    <row r="20" spans="1:37" ht="22.5" customHeight="1">
      <c r="A20" s="152"/>
      <c r="B20" s="152"/>
      <c r="C20" s="152"/>
      <c r="D20" s="153"/>
      <c r="E20" s="152"/>
      <c r="F20" s="152"/>
      <c r="G20" s="152"/>
      <c r="H20" s="154"/>
      <c r="I20" s="154"/>
      <c r="J20" s="154"/>
      <c r="K20" s="154"/>
      <c r="L20" s="154"/>
      <c r="M20" s="155"/>
      <c r="N20" s="156"/>
      <c r="O20" s="219">
        <f>SUM(O6:O10)</f>
        <v>7567</v>
      </c>
      <c r="P20" s="157"/>
      <c r="Q20" s="229">
        <f>Q24-Q18</f>
        <v>5339</v>
      </c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229"/>
      <c r="AE20" s="201" t="e">
        <f>#REF!+#REF!+#REF!+#REF!+#REF!+O6+O7+O8+O9+#REF!+#REF!</f>
        <v>#REF!</v>
      </c>
    </row>
    <row r="21" spans="1:37" ht="11.25" customHeight="1" thickBot="1">
      <c r="A21" s="160"/>
      <c r="B21" s="160"/>
      <c r="C21" s="160"/>
      <c r="D21" s="153"/>
      <c r="E21" s="160"/>
      <c r="F21" s="160"/>
      <c r="G21" s="160"/>
      <c r="H21" s="160"/>
      <c r="I21" s="160">
        <v>3205</v>
      </c>
      <c r="J21" s="160"/>
      <c r="K21" s="160"/>
      <c r="L21" s="160"/>
      <c r="M21" s="161">
        <v>3895</v>
      </c>
      <c r="N21" s="160"/>
      <c r="O21" s="220"/>
      <c r="P21" s="160"/>
      <c r="Q21" s="230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</row>
    <row r="22" spans="1:37" ht="21" customHeight="1">
      <c r="A22" s="160"/>
      <c r="B22" s="160"/>
      <c r="C22" s="160"/>
      <c r="D22" s="160"/>
      <c r="E22" s="160"/>
      <c r="F22" s="1580" t="s">
        <v>390</v>
      </c>
      <c r="G22" s="1581"/>
      <c r="H22" s="163"/>
      <c r="I22" s="163"/>
      <c r="J22" s="163"/>
      <c r="K22" s="163"/>
      <c r="L22" s="163"/>
      <c r="M22" s="163"/>
      <c r="N22" s="163"/>
      <c r="O22" s="1587" t="s">
        <v>391</v>
      </c>
      <c r="P22" s="205"/>
      <c r="Q22" s="1589"/>
      <c r="R22" s="1589"/>
      <c r="S22" s="1589"/>
      <c r="T22" s="1590"/>
      <c r="U22" s="208"/>
      <c r="V22" s="208"/>
      <c r="W22" s="208"/>
      <c r="X22" s="208"/>
      <c r="Y22" s="208"/>
      <c r="Z22" s="208"/>
      <c r="AA22" s="208"/>
      <c r="AB22" s="208"/>
      <c r="AC22" s="208"/>
    </row>
    <row r="23" spans="1:37" ht="18.75" customHeight="1" thickBot="1">
      <c r="A23" s="160"/>
      <c r="B23" s="160"/>
      <c r="C23" s="160"/>
      <c r="D23" s="160"/>
      <c r="E23" s="160"/>
      <c r="F23" s="1582"/>
      <c r="G23" s="1583"/>
      <c r="H23" s="164"/>
      <c r="I23" s="164"/>
      <c r="J23" s="164"/>
      <c r="K23" s="164"/>
      <c r="L23" s="164"/>
      <c r="M23" s="164"/>
      <c r="N23" s="164"/>
      <c r="O23" s="1588"/>
      <c r="P23" s="206"/>
      <c r="Q23" s="231">
        <v>2015</v>
      </c>
      <c r="R23" s="317"/>
      <c r="S23" s="317"/>
      <c r="T23" s="166">
        <v>2016</v>
      </c>
      <c r="U23" s="209"/>
      <c r="V23" s="209"/>
      <c r="W23" s="209"/>
      <c r="X23" s="209"/>
      <c r="Y23" s="209"/>
      <c r="Z23" s="209"/>
      <c r="AA23" s="209"/>
      <c r="AB23" s="209"/>
      <c r="AC23" s="209"/>
    </row>
    <row r="24" spans="1:37" ht="15" thickBot="1">
      <c r="A24" s="160"/>
      <c r="B24" s="160"/>
      <c r="C24" s="160"/>
      <c r="D24" s="160"/>
      <c r="E24" s="160"/>
      <c r="F24" s="167" t="s">
        <v>392</v>
      </c>
      <c r="G24" s="168"/>
      <c r="H24" s="168"/>
      <c r="I24" s="168"/>
      <c r="J24" s="168"/>
      <c r="K24" s="168"/>
      <c r="L24" s="168"/>
      <c r="M24" s="168"/>
      <c r="N24" s="168"/>
      <c r="O24" s="221">
        <v>19600</v>
      </c>
      <c r="P24" s="169"/>
      <c r="Q24" s="232">
        <v>10506</v>
      </c>
      <c r="R24" s="318"/>
      <c r="S24" s="318"/>
      <c r="T24" s="170">
        <v>3700</v>
      </c>
      <c r="U24" s="210"/>
      <c r="V24" s="210"/>
      <c r="W24" s="210"/>
      <c r="X24" s="210"/>
      <c r="Y24" s="210"/>
      <c r="Z24" s="210"/>
      <c r="AA24" s="210"/>
      <c r="AB24" s="210"/>
      <c r="AC24" s="210"/>
    </row>
    <row r="25" spans="1:37">
      <c r="A25" s="160"/>
      <c r="B25" s="160"/>
      <c r="C25" s="160"/>
      <c r="D25" s="160"/>
      <c r="E25" s="160"/>
      <c r="F25" s="1575" t="s">
        <v>393</v>
      </c>
      <c r="G25" s="1576"/>
      <c r="H25" s="171"/>
      <c r="I25" s="171"/>
      <c r="J25" s="171"/>
      <c r="K25" s="171"/>
      <c r="L25" s="171" t="s">
        <v>30</v>
      </c>
      <c r="M25" s="171"/>
      <c r="N25" s="171"/>
      <c r="O25" s="222">
        <v>19600</v>
      </c>
      <c r="P25" s="171"/>
      <c r="Q25" s="233">
        <v>10500</v>
      </c>
      <c r="R25" s="319"/>
      <c r="S25" s="319"/>
      <c r="T25" s="172">
        <v>3700</v>
      </c>
      <c r="U25" s="211"/>
      <c r="V25" s="211"/>
      <c r="W25" s="211"/>
      <c r="X25" s="211"/>
      <c r="Y25" s="211"/>
      <c r="Z25" s="211"/>
      <c r="AA25" s="211"/>
      <c r="AB25" s="211"/>
      <c r="AC25" s="211"/>
    </row>
    <row r="26" spans="1:37">
      <c r="A26" s="160"/>
      <c r="B26" s="160"/>
      <c r="C26" s="160"/>
      <c r="D26" s="160"/>
      <c r="E26" s="160"/>
      <c r="F26" s="173" t="s">
        <v>394</v>
      </c>
      <c r="G26" s="174"/>
      <c r="H26" s="175"/>
      <c r="I26" s="175"/>
      <c r="J26" s="175"/>
      <c r="K26" s="175"/>
      <c r="L26" s="175"/>
      <c r="M26" s="175"/>
      <c r="N26" s="175"/>
      <c r="O26" s="223"/>
      <c r="P26" s="176"/>
      <c r="Q26" s="234">
        <v>6</v>
      </c>
      <c r="R26" s="320"/>
      <c r="S26" s="320"/>
      <c r="T26" s="177"/>
      <c r="U26" s="212"/>
      <c r="V26" s="212"/>
      <c r="W26" s="212"/>
      <c r="X26" s="212"/>
      <c r="Y26" s="212"/>
      <c r="Z26" s="212"/>
      <c r="AA26" s="212"/>
      <c r="AB26" s="212"/>
      <c r="AC26" s="212"/>
      <c r="AH26" s="136">
        <v>700</v>
      </c>
      <c r="AJ26" s="136">
        <f>AH26</f>
        <v>700</v>
      </c>
      <c r="AK26" s="136">
        <f>AJ26+AJ27</f>
        <v>5751</v>
      </c>
    </row>
    <row r="27" spans="1:37" ht="15" thickBot="1">
      <c r="A27" s="160"/>
      <c r="B27" s="160"/>
      <c r="C27" s="160"/>
      <c r="D27" s="160"/>
      <c r="E27" s="160"/>
      <c r="F27" s="178" t="s">
        <v>395</v>
      </c>
      <c r="G27" s="179"/>
      <c r="H27" s="180"/>
      <c r="I27" s="180"/>
      <c r="J27" s="180"/>
      <c r="K27" s="180"/>
      <c r="L27" s="180"/>
      <c r="M27" s="180"/>
      <c r="N27" s="180"/>
      <c r="O27" s="224">
        <v>0</v>
      </c>
      <c r="P27" s="181"/>
      <c r="Q27" s="235">
        <v>0</v>
      </c>
      <c r="R27" s="321"/>
      <c r="S27" s="321"/>
      <c r="T27" s="182">
        <v>0</v>
      </c>
      <c r="U27" s="213"/>
      <c r="V27" s="334"/>
      <c r="W27" s="213"/>
      <c r="X27" s="213"/>
      <c r="Y27" s="213"/>
      <c r="Z27" s="213"/>
      <c r="AA27" s="213"/>
      <c r="AB27" s="213"/>
      <c r="AC27" s="213"/>
      <c r="AF27" s="135">
        <f>10454-600</f>
        <v>9854</v>
      </c>
      <c r="AH27" s="136">
        <v>5051</v>
      </c>
      <c r="AJ27" s="136">
        <f>AH27</f>
        <v>5051</v>
      </c>
    </row>
    <row r="28" spans="1:37">
      <c r="V28" s="335"/>
      <c r="AH28" s="136">
        <f>AF27</f>
        <v>9854</v>
      </c>
      <c r="AJ28" s="183">
        <f>S18</f>
        <v>6194</v>
      </c>
      <c r="AK28" s="136">
        <f>18600-AK26</f>
        <v>12849</v>
      </c>
    </row>
    <row r="29" spans="1:37">
      <c r="V29" s="335"/>
      <c r="AH29" s="136">
        <v>3995</v>
      </c>
      <c r="AJ29" s="183">
        <f>X18</f>
        <v>4300</v>
      </c>
    </row>
    <row r="30" spans="1:37">
      <c r="O30" s="225"/>
      <c r="P30" s="207"/>
      <c r="U30" s="336">
        <f>P18-R18</f>
        <v>5019</v>
      </c>
      <c r="AH30" s="136">
        <f>SUM(AH26:AH29)</f>
        <v>19600</v>
      </c>
      <c r="AJ30" s="183">
        <f>AC18</f>
        <v>0</v>
      </c>
    </row>
    <row r="31" spans="1:37">
      <c r="U31" s="337"/>
      <c r="AJ31" s="136">
        <f>SUM(AJ26:AJ30)</f>
        <v>16245</v>
      </c>
    </row>
    <row r="32" spans="1:37">
      <c r="U32" s="336">
        <f>S18-U18+V18</f>
        <v>5075</v>
      </c>
      <c r="V32" s="335">
        <f>S18</f>
        <v>6194</v>
      </c>
      <c r="W32" s="335">
        <f>V32-U32</f>
        <v>1119</v>
      </c>
    </row>
    <row r="33" spans="21:37">
      <c r="U33" s="336">
        <f>X18-Y18+Z18</f>
        <v>400</v>
      </c>
      <c r="V33" s="335">
        <f>X18</f>
        <v>4300</v>
      </c>
      <c r="W33" s="335">
        <f>V33-U33</f>
        <v>3900</v>
      </c>
    </row>
    <row r="34" spans="21:37">
      <c r="U34" s="336">
        <f>AB18</f>
        <v>0</v>
      </c>
      <c r="V34" s="335">
        <f>AB18</f>
        <v>0</v>
      </c>
      <c r="W34" s="335">
        <f>V34-U34</f>
        <v>0</v>
      </c>
    </row>
    <row r="35" spans="21:37">
      <c r="U35" s="336">
        <f>AC18</f>
        <v>0</v>
      </c>
      <c r="V35" s="335">
        <f>AC18</f>
        <v>0</v>
      </c>
      <c r="W35" s="335">
        <f>V35-U35</f>
        <v>0</v>
      </c>
      <c r="AK35" s="249"/>
    </row>
    <row r="36" spans="21:37">
      <c r="U36" s="336">
        <f>SUM(U32:U35)</f>
        <v>5475</v>
      </c>
      <c r="V36" s="336">
        <f>SUM(V32:V35)</f>
        <v>10494</v>
      </c>
      <c r="W36" s="336">
        <f>SUM(W32:W35)</f>
        <v>5019</v>
      </c>
    </row>
    <row r="37" spans="21:37">
      <c r="U37" s="337"/>
    </row>
  </sheetData>
  <mergeCells count="13">
    <mergeCell ref="A3:A4"/>
    <mergeCell ref="B3:B4"/>
    <mergeCell ref="A1:AF1"/>
    <mergeCell ref="A2:AF2"/>
    <mergeCell ref="R3:AF3"/>
    <mergeCell ref="F25:G25"/>
    <mergeCell ref="AE7:AE9"/>
    <mergeCell ref="AE11:AE13"/>
    <mergeCell ref="A18:B18"/>
    <mergeCell ref="A19:B19"/>
    <mergeCell ref="F22:G23"/>
    <mergeCell ref="O22:O23"/>
    <mergeCell ref="Q22:T22"/>
  </mergeCells>
  <phoneticPr fontId="6" type="noConversion"/>
  <printOptions horizontalCentered="1"/>
  <pageMargins left="0.19685039370078741" right="0.19685039370078741" top="0.98425196850393704" bottom="0.19685039370078741" header="0.39370078740157483" footer="0.39370078740157483"/>
  <pageSetup paperSize="9" scale="90" fitToHeight="2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K29" sqref="K29"/>
    </sheetView>
  </sheetViews>
  <sheetFormatPr defaultRowHeight="12.75"/>
  <cols>
    <col min="1" max="1" width="15.85546875" customWidth="1"/>
    <col min="2" max="2" width="44.85546875" customWidth="1"/>
    <col min="3" max="3" width="15" bestFit="1" customWidth="1"/>
    <col min="4" max="4" width="13.42578125" bestFit="1" customWidth="1"/>
    <col min="5" max="5" width="4.85546875" customWidth="1"/>
  </cols>
  <sheetData>
    <row r="1" spans="1:4">
      <c r="A1" s="380" t="s">
        <v>594</v>
      </c>
    </row>
    <row r="2" spans="1:4">
      <c r="A2" s="655" t="s">
        <v>593</v>
      </c>
      <c r="C2" t="s">
        <v>595</v>
      </c>
      <c r="D2" t="s">
        <v>596</v>
      </c>
    </row>
    <row r="3" spans="1:4">
      <c r="A3" s="653">
        <v>562618.81999999995</v>
      </c>
      <c r="B3" t="s">
        <v>400</v>
      </c>
      <c r="C3" s="656">
        <f>A3/1.23</f>
        <v>457413.67</v>
      </c>
      <c r="D3" s="654">
        <f>A3-C3</f>
        <v>105205.15</v>
      </c>
    </row>
    <row r="4" spans="1:4">
      <c r="A4" s="653">
        <v>733596.24</v>
      </c>
      <c r="B4" t="s">
        <v>590</v>
      </c>
      <c r="C4" s="654">
        <f t="shared" ref="C4:C6" si="0">A4/1.23</f>
        <v>596419.71</v>
      </c>
      <c r="D4" s="654">
        <f t="shared" ref="D4:D6" si="1">A4-C4</f>
        <v>137176.53</v>
      </c>
    </row>
    <row r="5" spans="1:4">
      <c r="A5" s="653">
        <v>134506.26999999999</v>
      </c>
      <c r="B5" t="s">
        <v>591</v>
      </c>
      <c r="C5" s="656">
        <f t="shared" si="0"/>
        <v>109354.69</v>
      </c>
      <c r="D5" s="654">
        <f t="shared" si="1"/>
        <v>25151.58</v>
      </c>
    </row>
    <row r="6" spans="1:4">
      <c r="A6" s="654">
        <f>SUM(A3:A5)</f>
        <v>1430721.33</v>
      </c>
      <c r="B6" t="s">
        <v>592</v>
      </c>
      <c r="C6" s="654">
        <f t="shared" si="0"/>
        <v>1163188.07</v>
      </c>
      <c r="D6" s="654">
        <f t="shared" si="1"/>
        <v>267533.26</v>
      </c>
    </row>
    <row r="8" spans="1:4">
      <c r="A8" t="s">
        <v>597</v>
      </c>
      <c r="C8" s="656">
        <f>C3+C5</f>
        <v>566768.36</v>
      </c>
    </row>
    <row r="10" spans="1:4">
      <c r="A10" t="s">
        <v>598</v>
      </c>
    </row>
  </sheetData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zoomScale="145" zoomScaleNormal="145" workbookViewId="0">
      <pane ySplit="4" topLeftCell="A5" activePane="bottomLeft" state="frozen"/>
      <selection pane="bottomLeft" activeCell="N6" sqref="N6"/>
    </sheetView>
  </sheetViews>
  <sheetFormatPr defaultColWidth="9.140625" defaultRowHeight="12.75"/>
  <cols>
    <col min="1" max="1" width="4.28515625" style="250" customWidth="1"/>
    <col min="2" max="2" width="9.140625" style="250"/>
    <col min="3" max="3" width="71.28515625" style="250" customWidth="1"/>
    <col min="4" max="4" width="7.42578125" style="250" bestFit="1" customWidth="1"/>
    <col min="5" max="5" width="6.7109375" style="250" bestFit="1" customWidth="1"/>
    <col min="6" max="6" width="8" style="250" bestFit="1" customWidth="1"/>
    <col min="7" max="7" width="7.42578125" style="250" bestFit="1" customWidth="1"/>
    <col min="8" max="8" width="6.7109375" style="250" bestFit="1" customWidth="1"/>
    <col min="9" max="9" width="8" style="250" bestFit="1" customWidth="1"/>
    <col min="10" max="10" width="7.42578125" style="250" bestFit="1" customWidth="1"/>
    <col min="11" max="11" width="6.7109375" style="250" bestFit="1" customWidth="1"/>
    <col min="12" max="12" width="8" style="250" bestFit="1" customWidth="1"/>
    <col min="13" max="16384" width="9.140625" style="250"/>
  </cols>
  <sheetData>
    <row r="1" spans="1:12">
      <c r="A1" s="250" t="s">
        <v>182</v>
      </c>
      <c r="L1" s="255" t="s">
        <v>200</v>
      </c>
    </row>
    <row r="2" spans="1:12">
      <c r="L2" s="250" t="s">
        <v>188</v>
      </c>
    </row>
    <row r="3" spans="1:12">
      <c r="A3" s="1593" t="s">
        <v>13</v>
      </c>
      <c r="B3" s="1593" t="s">
        <v>186</v>
      </c>
      <c r="C3" s="1593" t="s">
        <v>183</v>
      </c>
      <c r="D3" s="1593">
        <v>2015</v>
      </c>
      <c r="E3" s="1593"/>
      <c r="F3" s="1593"/>
      <c r="G3" s="1593">
        <v>2016</v>
      </c>
      <c r="H3" s="1593"/>
      <c r="I3" s="1593"/>
      <c r="J3" s="1593" t="s">
        <v>397</v>
      </c>
      <c r="K3" s="1593"/>
      <c r="L3" s="1593"/>
    </row>
    <row r="4" spans="1:12" ht="13.5" thickBot="1">
      <c r="A4" s="1594"/>
      <c r="B4" s="1594"/>
      <c r="C4" s="1594"/>
      <c r="D4" s="271" t="s">
        <v>15</v>
      </c>
      <c r="E4" s="271" t="s">
        <v>19</v>
      </c>
      <c r="F4" s="271" t="s">
        <v>156</v>
      </c>
      <c r="G4" s="271" t="s">
        <v>15</v>
      </c>
      <c r="H4" s="271" t="s">
        <v>19</v>
      </c>
      <c r="I4" s="271" t="s">
        <v>156</v>
      </c>
      <c r="J4" s="271" t="s">
        <v>15</v>
      </c>
      <c r="K4" s="271" t="s">
        <v>19</v>
      </c>
      <c r="L4" s="271" t="s">
        <v>156</v>
      </c>
    </row>
    <row r="5" spans="1:12" ht="13.5" thickTop="1">
      <c r="A5" s="269" t="s">
        <v>184</v>
      </c>
      <c r="B5" s="269"/>
      <c r="C5" s="269"/>
      <c r="D5" s="270"/>
      <c r="E5" s="270"/>
      <c r="F5" s="270"/>
      <c r="G5" s="270"/>
      <c r="H5" s="270"/>
      <c r="I5" s="270"/>
      <c r="J5" s="270"/>
      <c r="K5" s="270"/>
      <c r="L5" s="269"/>
    </row>
    <row r="6" spans="1:12" ht="38.25">
      <c r="A6" s="256">
        <v>1</v>
      </c>
      <c r="B6" s="257" t="s">
        <v>187</v>
      </c>
      <c r="C6" s="259" t="s">
        <v>304</v>
      </c>
      <c r="D6" s="258"/>
      <c r="E6" s="258"/>
      <c r="F6" s="258"/>
      <c r="G6" s="258"/>
      <c r="H6" s="258"/>
      <c r="I6" s="258"/>
      <c r="J6" s="258"/>
      <c r="K6" s="258"/>
      <c r="L6" s="257"/>
    </row>
    <row r="7" spans="1:12" ht="25.5">
      <c r="A7" s="256">
        <v>2</v>
      </c>
      <c r="B7" s="257" t="s">
        <v>189</v>
      </c>
      <c r="C7" s="259" t="s">
        <v>202</v>
      </c>
      <c r="D7" s="258">
        <f>E7+F7</f>
        <v>224</v>
      </c>
      <c r="E7" s="258">
        <v>81</v>
      </c>
      <c r="F7" s="258">
        <v>143</v>
      </c>
      <c r="G7" s="258">
        <f>H7+I7</f>
        <v>2138</v>
      </c>
      <c r="H7" s="258">
        <v>880</v>
      </c>
      <c r="I7" s="258">
        <v>1258</v>
      </c>
      <c r="J7" s="258">
        <f>K7+L7</f>
        <v>5956</v>
      </c>
      <c r="K7" s="258">
        <f>1011+961+464</f>
        <v>2436</v>
      </c>
      <c r="L7" s="258">
        <f>1455+1380+685</f>
        <v>3520</v>
      </c>
    </row>
    <row r="8" spans="1:12" ht="38.25">
      <c r="A8" s="256">
        <v>3</v>
      </c>
      <c r="B8" s="257" t="s">
        <v>187</v>
      </c>
      <c r="C8" s="259" t="s">
        <v>355</v>
      </c>
      <c r="D8" s="258"/>
      <c r="E8" s="258"/>
      <c r="F8" s="258"/>
      <c r="G8" s="258">
        <f>H8+I8</f>
        <v>22000</v>
      </c>
      <c r="H8" s="258">
        <v>8000</v>
      </c>
      <c r="I8" s="258">
        <v>14000</v>
      </c>
      <c r="J8" s="258">
        <f>K8+L8</f>
        <v>34890</v>
      </c>
      <c r="K8" s="258">
        <v>14756</v>
      </c>
      <c r="L8" s="258">
        <v>20134</v>
      </c>
    </row>
    <row r="9" spans="1:12" ht="25.5">
      <c r="A9" s="256">
        <v>4</v>
      </c>
      <c r="B9" s="257" t="s">
        <v>189</v>
      </c>
      <c r="C9" s="259" t="s">
        <v>349</v>
      </c>
      <c r="D9" s="258"/>
      <c r="E9" s="258"/>
      <c r="F9" s="258"/>
      <c r="G9" s="258"/>
      <c r="H9" s="258"/>
      <c r="I9" s="258"/>
      <c r="J9" s="258">
        <f>K9+L9</f>
        <v>24000</v>
      </c>
      <c r="K9" s="258">
        <v>9600</v>
      </c>
      <c r="L9" s="258">
        <v>14400</v>
      </c>
    </row>
    <row r="10" spans="1:12" ht="25.5">
      <c r="A10" s="256">
        <v>5</v>
      </c>
      <c r="B10" s="257" t="s">
        <v>187</v>
      </c>
      <c r="C10" s="259" t="s">
        <v>354</v>
      </c>
      <c r="D10" s="258">
        <f>E10+F10</f>
        <v>3000</v>
      </c>
      <c r="E10" s="258">
        <v>3000</v>
      </c>
      <c r="F10" s="258"/>
      <c r="G10" s="257"/>
      <c r="H10" s="257"/>
      <c r="I10" s="258"/>
      <c r="J10" s="258"/>
      <c r="K10" s="258"/>
      <c r="L10" s="257"/>
    </row>
    <row r="11" spans="1:12" ht="25.5">
      <c r="A11" s="256">
        <v>6</v>
      </c>
      <c r="B11" s="257" t="s">
        <v>189</v>
      </c>
      <c r="C11" s="259" t="s">
        <v>203</v>
      </c>
      <c r="D11" s="258">
        <f>E11+F11</f>
        <v>3000</v>
      </c>
      <c r="E11" s="258">
        <v>2390</v>
      </c>
      <c r="F11" s="258">
        <v>610</v>
      </c>
      <c r="G11" s="258"/>
      <c r="H11" s="258"/>
      <c r="I11" s="258"/>
      <c r="J11" s="258"/>
      <c r="K11" s="258"/>
      <c r="L11" s="258"/>
    </row>
    <row r="12" spans="1:12">
      <c r="A12" s="256">
        <v>7</v>
      </c>
      <c r="B12" s="257" t="s">
        <v>187</v>
      </c>
      <c r="C12" s="259" t="s">
        <v>424</v>
      </c>
      <c r="D12" s="258">
        <f>E12+F12</f>
        <v>1200</v>
      </c>
      <c r="E12" s="258">
        <v>1200</v>
      </c>
      <c r="F12" s="258"/>
      <c r="G12" s="258">
        <f>H12+L12</f>
        <v>700</v>
      </c>
      <c r="H12" s="257">
        <v>700</v>
      </c>
      <c r="I12" s="258"/>
      <c r="J12" s="258">
        <f>K12+L12</f>
        <v>500</v>
      </c>
      <c r="K12" s="258">
        <v>500</v>
      </c>
      <c r="L12" s="257"/>
    </row>
    <row r="13" spans="1:12">
      <c r="A13" s="256">
        <v>8</v>
      </c>
      <c r="B13" s="257" t="s">
        <v>189</v>
      </c>
      <c r="C13" s="259" t="s">
        <v>424</v>
      </c>
      <c r="D13" s="258">
        <f>E13+F13</f>
        <v>1970</v>
      </c>
      <c r="E13" s="258">
        <v>1970</v>
      </c>
      <c r="F13" s="258"/>
      <c r="G13" s="258">
        <f>H13+I13</f>
        <v>2030</v>
      </c>
      <c r="H13" s="258">
        <v>2030</v>
      </c>
      <c r="I13" s="258"/>
      <c r="J13" s="258">
        <f>K13+L13</f>
        <v>1150</v>
      </c>
      <c r="K13" s="258">
        <f>700+450</f>
        <v>1150</v>
      </c>
      <c r="L13" s="258"/>
    </row>
    <row r="14" spans="1:12">
      <c r="A14" s="256">
        <v>9</v>
      </c>
      <c r="B14" s="257" t="s">
        <v>187</v>
      </c>
      <c r="C14" s="259" t="s">
        <v>426</v>
      </c>
      <c r="D14" s="258"/>
      <c r="E14" s="258"/>
      <c r="F14" s="258"/>
      <c r="G14" s="258"/>
      <c r="H14" s="258"/>
      <c r="I14" s="258"/>
      <c r="J14" s="258"/>
      <c r="K14" s="258"/>
      <c r="L14" s="257"/>
    </row>
    <row r="15" spans="1:12">
      <c r="A15" s="256">
        <v>10</v>
      </c>
      <c r="B15" s="257" t="s">
        <v>189</v>
      </c>
      <c r="C15" s="259" t="s">
        <v>426</v>
      </c>
      <c r="D15" s="258">
        <f>E15+F15</f>
        <v>680</v>
      </c>
      <c r="E15" s="257">
        <v>680</v>
      </c>
      <c r="F15" s="257"/>
      <c r="G15" s="258">
        <f>H15+I15</f>
        <v>400</v>
      </c>
      <c r="H15" s="257">
        <v>400</v>
      </c>
      <c r="I15" s="257"/>
      <c r="J15" s="257"/>
      <c r="K15" s="257"/>
      <c r="L15" s="257"/>
    </row>
    <row r="16" spans="1:12" ht="25.5">
      <c r="A16" s="256">
        <v>11</v>
      </c>
      <c r="B16" s="257" t="s">
        <v>187</v>
      </c>
      <c r="C16" s="259" t="s">
        <v>374</v>
      </c>
      <c r="D16" s="258">
        <f>E16+F16</f>
        <v>94</v>
      </c>
      <c r="E16" s="258">
        <v>94</v>
      </c>
      <c r="F16" s="258"/>
      <c r="G16" s="258">
        <f>H16+L16</f>
        <v>1390</v>
      </c>
      <c r="H16" s="258">
        <v>1390</v>
      </c>
      <c r="I16" s="258"/>
      <c r="J16" s="258">
        <f>K16+L16</f>
        <v>2036</v>
      </c>
      <c r="K16" s="258">
        <v>2036</v>
      </c>
      <c r="L16" s="257"/>
    </row>
    <row r="17" spans="1:21" ht="25.5">
      <c r="A17" s="256">
        <v>12</v>
      </c>
      <c r="B17" s="257" t="s">
        <v>189</v>
      </c>
      <c r="C17" s="259" t="s">
        <v>374</v>
      </c>
      <c r="D17" s="258">
        <f>E17+F17</f>
        <v>615</v>
      </c>
      <c r="E17" s="258">
        <v>615</v>
      </c>
      <c r="F17" s="258"/>
      <c r="G17" s="258">
        <f>H17+I17</f>
        <v>575</v>
      </c>
      <c r="H17" s="258">
        <v>575</v>
      </c>
      <c r="I17" s="258"/>
      <c r="J17" s="258">
        <f>K17+L17</f>
        <v>1280</v>
      </c>
      <c r="K17" s="258">
        <f>810+470</f>
        <v>1280</v>
      </c>
      <c r="L17" s="258"/>
    </row>
    <row r="18" spans="1:21" ht="51">
      <c r="A18" s="256">
        <v>13</v>
      </c>
      <c r="B18" s="257" t="s">
        <v>187</v>
      </c>
      <c r="C18" s="259" t="s">
        <v>427</v>
      </c>
      <c r="D18" s="258">
        <f>E18+F18</f>
        <v>100</v>
      </c>
      <c r="E18" s="258">
        <v>100</v>
      </c>
      <c r="F18" s="258"/>
      <c r="G18" s="258"/>
      <c r="H18" s="258"/>
      <c r="I18" s="258"/>
      <c r="J18" s="258"/>
      <c r="K18" s="258"/>
      <c r="L18" s="257"/>
    </row>
    <row r="19" spans="1:21" ht="51">
      <c r="A19" s="256">
        <v>14</v>
      </c>
      <c r="B19" s="257" t="s">
        <v>189</v>
      </c>
      <c r="C19" s="259" t="s">
        <v>427</v>
      </c>
      <c r="D19" s="258">
        <f>E19+F19</f>
        <v>650</v>
      </c>
      <c r="E19" s="258">
        <v>650</v>
      </c>
      <c r="F19" s="258"/>
      <c r="G19" s="258">
        <f>H19+I19</f>
        <v>650</v>
      </c>
      <c r="H19" s="258">
        <v>650</v>
      </c>
      <c r="I19" s="258"/>
      <c r="J19" s="258"/>
      <c r="K19" s="258"/>
      <c r="L19" s="258"/>
    </row>
    <row r="20" spans="1:21" s="252" customFormat="1">
      <c r="A20" s="256">
        <v>15</v>
      </c>
      <c r="B20" s="260" t="s">
        <v>187</v>
      </c>
      <c r="C20" s="261" t="s">
        <v>196</v>
      </c>
      <c r="D20" s="262">
        <f>D6+D8+D10+D12+D14+D16+D18</f>
        <v>4394</v>
      </c>
      <c r="E20" s="262">
        <f t="shared" ref="E20:L20" si="0">E6+E8+E10+E12+E14+E16+E18</f>
        <v>4394</v>
      </c>
      <c r="F20" s="262">
        <f t="shared" si="0"/>
        <v>0</v>
      </c>
      <c r="G20" s="262">
        <f t="shared" si="0"/>
        <v>24090</v>
      </c>
      <c r="H20" s="262">
        <f t="shared" si="0"/>
        <v>10090</v>
      </c>
      <c r="I20" s="262">
        <f t="shared" si="0"/>
        <v>14000</v>
      </c>
      <c r="J20" s="262">
        <f t="shared" si="0"/>
        <v>37426</v>
      </c>
      <c r="K20" s="262">
        <f t="shared" si="0"/>
        <v>17292</v>
      </c>
      <c r="L20" s="262">
        <f t="shared" si="0"/>
        <v>20134</v>
      </c>
    </row>
    <row r="21" spans="1:21" ht="13.5" thickBot="1">
      <c r="A21" s="265">
        <v>16</v>
      </c>
      <c r="B21" s="266" t="s">
        <v>189</v>
      </c>
      <c r="C21" s="267" t="s">
        <v>196</v>
      </c>
      <c r="D21" s="268">
        <f>D7+D9+D11+D13+D15+D17+D19</f>
        <v>7139</v>
      </c>
      <c r="E21" s="268">
        <f t="shared" ref="E21:L21" si="1">E7+E9+E11+E13+E15+E17+E19</f>
        <v>6386</v>
      </c>
      <c r="F21" s="268">
        <f t="shared" si="1"/>
        <v>753</v>
      </c>
      <c r="G21" s="268">
        <f t="shared" si="1"/>
        <v>5793</v>
      </c>
      <c r="H21" s="268">
        <f t="shared" si="1"/>
        <v>4535</v>
      </c>
      <c r="I21" s="268">
        <f t="shared" si="1"/>
        <v>1258</v>
      </c>
      <c r="J21" s="268">
        <f t="shared" si="1"/>
        <v>32386</v>
      </c>
      <c r="K21" s="268">
        <f t="shared" si="1"/>
        <v>14466</v>
      </c>
      <c r="L21" s="268">
        <f t="shared" si="1"/>
        <v>17920</v>
      </c>
    </row>
    <row r="22" spans="1:21" ht="13.5" thickTop="1">
      <c r="A22" s="269" t="s">
        <v>185</v>
      </c>
      <c r="B22" s="269"/>
      <c r="C22" s="269"/>
      <c r="D22" s="270"/>
      <c r="E22" s="270"/>
      <c r="F22" s="270"/>
      <c r="G22" s="270"/>
      <c r="H22" s="270"/>
      <c r="I22" s="270"/>
      <c r="J22" s="270"/>
      <c r="K22" s="270"/>
      <c r="L22" s="270"/>
    </row>
    <row r="23" spans="1:21" ht="51">
      <c r="A23" s="256">
        <v>17</v>
      </c>
      <c r="B23" s="257" t="s">
        <v>187</v>
      </c>
      <c r="C23" s="259" t="s">
        <v>190</v>
      </c>
      <c r="D23" s="258"/>
      <c r="E23" s="258"/>
      <c r="F23" s="258"/>
      <c r="G23" s="258"/>
      <c r="H23" s="258"/>
      <c r="I23" s="258"/>
      <c r="J23" s="258"/>
      <c r="K23" s="258"/>
      <c r="L23" s="258"/>
    </row>
    <row r="24" spans="1:21" ht="25.5">
      <c r="A24" s="256">
        <v>18</v>
      </c>
      <c r="B24" s="257" t="s">
        <v>189</v>
      </c>
      <c r="C24" s="259" t="s">
        <v>201</v>
      </c>
      <c r="D24" s="258">
        <f>E24+F24</f>
        <v>1815</v>
      </c>
      <c r="E24" s="258">
        <v>623</v>
      </c>
      <c r="F24" s="258">
        <v>1192</v>
      </c>
      <c r="G24" s="258">
        <f>H24+I24</f>
        <v>16205</v>
      </c>
      <c r="H24" s="258">
        <v>6630</v>
      </c>
      <c r="I24" s="258">
        <v>9575</v>
      </c>
      <c r="J24" s="258">
        <f>K24+L24</f>
        <v>32271</v>
      </c>
      <c r="K24" s="258">
        <f>6747+4131+2353</f>
        <v>13231</v>
      </c>
      <c r="L24" s="258">
        <f>9751+5826+3463</f>
        <v>19040</v>
      </c>
    </row>
    <row r="25" spans="1:21" ht="38.25">
      <c r="A25" s="256">
        <v>19</v>
      </c>
      <c r="B25" s="257" t="s">
        <v>187</v>
      </c>
      <c r="C25" s="259" t="s">
        <v>191</v>
      </c>
      <c r="D25" s="258"/>
      <c r="E25" s="258"/>
      <c r="F25" s="258"/>
      <c r="G25" s="258">
        <f>H25+I25</f>
        <v>2100</v>
      </c>
      <c r="H25" s="258">
        <v>840</v>
      </c>
      <c r="I25" s="258">
        <v>1260</v>
      </c>
      <c r="J25" s="258">
        <f>K25+L25</f>
        <v>6695</v>
      </c>
      <c r="K25" s="258">
        <v>2678</v>
      </c>
      <c r="L25" s="258">
        <v>4017</v>
      </c>
    </row>
    <row r="26" spans="1:21">
      <c r="A26" s="256">
        <v>20</v>
      </c>
      <c r="B26" s="257" t="s">
        <v>187</v>
      </c>
      <c r="C26" s="259" t="s">
        <v>192</v>
      </c>
      <c r="D26" s="258">
        <f>E26+F26</f>
        <v>3480</v>
      </c>
      <c r="E26" s="258">
        <v>3480</v>
      </c>
      <c r="F26" s="258"/>
      <c r="G26" s="258">
        <f>H26+I26</f>
        <v>710</v>
      </c>
      <c r="H26" s="258">
        <v>710</v>
      </c>
      <c r="I26" s="258"/>
      <c r="J26" s="258">
        <f>K26+L26</f>
        <v>3000</v>
      </c>
      <c r="K26" s="258">
        <v>3000</v>
      </c>
      <c r="L26" s="258"/>
    </row>
    <row r="27" spans="1:21">
      <c r="A27" s="256">
        <v>21</v>
      </c>
      <c r="B27" s="257" t="s">
        <v>189</v>
      </c>
      <c r="C27" s="259" t="s">
        <v>166</v>
      </c>
      <c r="D27" s="258">
        <f>E27+F27</f>
        <v>3980</v>
      </c>
      <c r="E27" s="258">
        <v>3980</v>
      </c>
      <c r="F27" s="258"/>
      <c r="G27" s="258">
        <f>H27+I27</f>
        <v>2320</v>
      </c>
      <c r="H27" s="258">
        <v>2320</v>
      </c>
      <c r="I27" s="258"/>
      <c r="J27" s="258">
        <f>K27+L27</f>
        <v>5945</v>
      </c>
      <c r="K27" s="258">
        <f>2280+1330+2335</f>
        <v>5945</v>
      </c>
      <c r="L27" s="258"/>
    </row>
    <row r="28" spans="1:21">
      <c r="A28" s="256">
        <v>22</v>
      </c>
      <c r="B28" s="257" t="s">
        <v>187</v>
      </c>
      <c r="C28" s="259" t="s">
        <v>193</v>
      </c>
      <c r="D28" s="258"/>
      <c r="E28" s="258"/>
      <c r="F28" s="258"/>
      <c r="G28" s="258"/>
      <c r="H28" s="258"/>
      <c r="I28" s="258"/>
      <c r="J28" s="258"/>
      <c r="K28" s="258"/>
      <c r="L28" s="258"/>
    </row>
    <row r="29" spans="1:21">
      <c r="A29" s="256">
        <v>23</v>
      </c>
      <c r="B29" s="257" t="s">
        <v>189</v>
      </c>
      <c r="C29" s="259" t="s">
        <v>167</v>
      </c>
      <c r="D29" s="258">
        <f>E29+F29</f>
        <v>420</v>
      </c>
      <c r="E29" s="258">
        <v>420</v>
      </c>
      <c r="F29" s="258"/>
      <c r="G29" s="258">
        <f>H29+I29</f>
        <v>150</v>
      </c>
      <c r="H29" s="258">
        <v>150</v>
      </c>
      <c r="I29" s="258"/>
      <c r="J29" s="258"/>
      <c r="K29" s="258"/>
      <c r="L29" s="258"/>
    </row>
    <row r="30" spans="1:21" ht="25.5">
      <c r="A30" s="256">
        <v>24</v>
      </c>
      <c r="B30" s="257" t="s">
        <v>187</v>
      </c>
      <c r="C30" s="259" t="s">
        <v>194</v>
      </c>
      <c r="D30" s="258"/>
      <c r="E30" s="258"/>
      <c r="F30" s="258"/>
      <c r="G30" s="258"/>
      <c r="H30" s="258"/>
      <c r="I30" s="258"/>
      <c r="J30" s="258"/>
      <c r="K30" s="258"/>
      <c r="L30" s="258"/>
      <c r="U30" s="254"/>
    </row>
    <row r="31" spans="1:21" ht="25.5">
      <c r="A31" s="256">
        <v>25</v>
      </c>
      <c r="B31" s="257" t="s">
        <v>189</v>
      </c>
      <c r="C31" s="259" t="s">
        <v>168</v>
      </c>
      <c r="D31" s="258">
        <f>E31+F31</f>
        <v>105</v>
      </c>
      <c r="E31" s="258">
        <v>105</v>
      </c>
      <c r="F31" s="258"/>
      <c r="G31" s="258">
        <f>H31+I31</f>
        <v>105</v>
      </c>
      <c r="H31" s="258">
        <v>105</v>
      </c>
      <c r="I31" s="258"/>
      <c r="J31" s="258"/>
      <c r="K31" s="258"/>
      <c r="L31" s="258"/>
      <c r="U31" s="254"/>
    </row>
    <row r="32" spans="1:21" s="252" customFormat="1" ht="51">
      <c r="A32" s="256">
        <v>26</v>
      </c>
      <c r="B32" s="257" t="s">
        <v>187</v>
      </c>
      <c r="C32" s="263" t="s">
        <v>195</v>
      </c>
      <c r="D32" s="258">
        <f>E32+F32</f>
        <v>100</v>
      </c>
      <c r="E32" s="264">
        <v>100</v>
      </c>
      <c r="F32" s="262"/>
      <c r="G32" s="262"/>
      <c r="H32" s="262"/>
      <c r="I32" s="262"/>
      <c r="J32" s="262"/>
      <c r="K32" s="262"/>
      <c r="L32" s="262"/>
    </row>
    <row r="33" spans="1:17" s="252" customFormat="1" ht="51">
      <c r="A33" s="256">
        <v>27</v>
      </c>
      <c r="B33" s="257" t="s">
        <v>189</v>
      </c>
      <c r="C33" s="259" t="s">
        <v>348</v>
      </c>
      <c r="D33" s="258">
        <f>E33+F33</f>
        <v>650</v>
      </c>
      <c r="E33" s="258">
        <v>650</v>
      </c>
      <c r="F33" s="258"/>
      <c r="G33" s="258">
        <f>H33+I33</f>
        <v>650</v>
      </c>
      <c r="H33" s="258">
        <v>650</v>
      </c>
      <c r="I33" s="258"/>
      <c r="J33" s="258"/>
      <c r="K33" s="258"/>
      <c r="L33" s="258"/>
    </row>
    <row r="34" spans="1:17">
      <c r="A34" s="256">
        <v>28</v>
      </c>
      <c r="B34" s="260" t="s">
        <v>187</v>
      </c>
      <c r="C34" s="261" t="s">
        <v>197</v>
      </c>
      <c r="D34" s="262">
        <f>D23+D25+D26+D28+D30+D32</f>
        <v>3580</v>
      </c>
      <c r="E34" s="262">
        <f t="shared" ref="E34:L34" si="2">E23+E25+E26+E28+E30+E32</f>
        <v>3580</v>
      </c>
      <c r="F34" s="262">
        <f t="shared" si="2"/>
        <v>0</v>
      </c>
      <c r="G34" s="262">
        <f t="shared" si="2"/>
        <v>2810</v>
      </c>
      <c r="H34" s="262">
        <f t="shared" si="2"/>
        <v>1550</v>
      </c>
      <c r="I34" s="262">
        <f t="shared" si="2"/>
        <v>1260</v>
      </c>
      <c r="J34" s="262">
        <f t="shared" si="2"/>
        <v>9695</v>
      </c>
      <c r="K34" s="262">
        <f t="shared" si="2"/>
        <v>5678</v>
      </c>
      <c r="L34" s="262">
        <f t="shared" si="2"/>
        <v>4017</v>
      </c>
    </row>
    <row r="35" spans="1:17">
      <c r="A35" s="256">
        <v>29</v>
      </c>
      <c r="B35" s="260" t="s">
        <v>189</v>
      </c>
      <c r="C35" s="261" t="s">
        <v>198</v>
      </c>
      <c r="D35" s="262">
        <f t="shared" ref="D35:L35" si="3">D24+D27+D29+D31+D33</f>
        <v>6970</v>
      </c>
      <c r="E35" s="262">
        <f t="shared" si="3"/>
        <v>5778</v>
      </c>
      <c r="F35" s="262">
        <f t="shared" si="3"/>
        <v>1192</v>
      </c>
      <c r="G35" s="262">
        <f t="shared" si="3"/>
        <v>19430</v>
      </c>
      <c r="H35" s="262">
        <f t="shared" si="3"/>
        <v>9855</v>
      </c>
      <c r="I35" s="262">
        <f t="shared" si="3"/>
        <v>9575</v>
      </c>
      <c r="J35" s="262">
        <f t="shared" si="3"/>
        <v>38216</v>
      </c>
      <c r="K35" s="262">
        <f t="shared" si="3"/>
        <v>19176</v>
      </c>
      <c r="L35" s="262">
        <f t="shared" si="3"/>
        <v>19040</v>
      </c>
      <c r="O35" s="253">
        <f>3976+2811+25599</f>
        <v>32386</v>
      </c>
      <c r="P35" s="253">
        <f>2521+1431+10514</f>
        <v>14466</v>
      </c>
      <c r="Q35" s="253">
        <f>1455+1380+15085</f>
        <v>17920</v>
      </c>
    </row>
    <row r="36" spans="1:17">
      <c r="A36" s="256"/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</row>
    <row r="37" spans="1:17">
      <c r="A37" s="256">
        <v>30</v>
      </c>
      <c r="B37" s="260" t="s">
        <v>187</v>
      </c>
      <c r="C37" s="260" t="s">
        <v>199</v>
      </c>
      <c r="D37" s="258">
        <f>D20+D34</f>
        <v>7974</v>
      </c>
      <c r="E37" s="258">
        <f t="shared" ref="E37:K37" si="4">E20+E34</f>
        <v>7974</v>
      </c>
      <c r="F37" s="258">
        <f t="shared" si="4"/>
        <v>0</v>
      </c>
      <c r="G37" s="258">
        <f t="shared" si="4"/>
        <v>26900</v>
      </c>
      <c r="H37" s="258">
        <f t="shared" si="4"/>
        <v>11640</v>
      </c>
      <c r="I37" s="258">
        <f t="shared" si="4"/>
        <v>15260</v>
      </c>
      <c r="J37" s="258">
        <f t="shared" si="4"/>
        <v>47121</v>
      </c>
      <c r="K37" s="258">
        <f t="shared" si="4"/>
        <v>22970</v>
      </c>
      <c r="L37" s="258">
        <f>L20+L34</f>
        <v>24151</v>
      </c>
      <c r="O37" s="251">
        <f>O35+D21+G21</f>
        <v>45318</v>
      </c>
      <c r="P37" s="251">
        <f>P35+E21+H21</f>
        <v>25387</v>
      </c>
      <c r="Q37" s="251">
        <f>Q35+F21+I21</f>
        <v>19931</v>
      </c>
    </row>
    <row r="38" spans="1:17">
      <c r="A38" s="256">
        <v>31</v>
      </c>
      <c r="B38" s="260" t="s">
        <v>189</v>
      </c>
      <c r="C38" s="260" t="s">
        <v>199</v>
      </c>
      <c r="D38" s="258">
        <f>D21+D35</f>
        <v>14109</v>
      </c>
      <c r="E38" s="258">
        <f t="shared" ref="E38:L38" si="5">E21+E35</f>
        <v>12164</v>
      </c>
      <c r="F38" s="258">
        <f t="shared" si="5"/>
        <v>1945</v>
      </c>
      <c r="G38" s="258">
        <f t="shared" si="5"/>
        <v>25223</v>
      </c>
      <c r="H38" s="258">
        <f t="shared" si="5"/>
        <v>14390</v>
      </c>
      <c r="I38" s="258">
        <f t="shared" si="5"/>
        <v>10833</v>
      </c>
      <c r="J38" s="258">
        <f t="shared" si="5"/>
        <v>70602</v>
      </c>
      <c r="K38" s="258">
        <f t="shared" si="5"/>
        <v>33642</v>
      </c>
      <c r="L38" s="258">
        <f t="shared" si="5"/>
        <v>36960</v>
      </c>
    </row>
    <row r="40" spans="1:17" s="252" customFormat="1"/>
    <row r="41" spans="1:17">
      <c r="D41" s="251"/>
      <c r="E41" s="251"/>
      <c r="F41" s="251"/>
      <c r="G41" s="251"/>
      <c r="H41" s="251"/>
      <c r="I41" s="251"/>
      <c r="J41" s="251"/>
      <c r="K41" s="251"/>
      <c r="L41" s="251"/>
      <c r="O41" s="250">
        <f>18778+11287+8151</f>
        <v>38216</v>
      </c>
      <c r="P41" s="250">
        <f>9027+5461+4688</f>
        <v>19176</v>
      </c>
      <c r="Q41" s="250">
        <f>9751+5826+3463</f>
        <v>19040</v>
      </c>
    </row>
    <row r="42" spans="1:17" s="252" customFormat="1">
      <c r="D42" s="253"/>
      <c r="E42" s="253"/>
      <c r="F42" s="253"/>
      <c r="G42" s="253"/>
      <c r="H42" s="253"/>
      <c r="I42" s="253"/>
      <c r="J42" s="253"/>
      <c r="K42" s="253"/>
      <c r="L42" s="253"/>
    </row>
    <row r="43" spans="1:17" s="252" customFormat="1">
      <c r="D43" s="253"/>
      <c r="E43" s="253"/>
      <c r="F43" s="253"/>
      <c r="G43" s="253"/>
      <c r="H43" s="253"/>
      <c r="I43" s="253"/>
      <c r="J43" s="253"/>
      <c r="K43" s="253"/>
      <c r="L43" s="253"/>
    </row>
    <row r="44" spans="1:17">
      <c r="D44" s="251"/>
      <c r="E44" s="251"/>
      <c r="F44" s="251"/>
      <c r="G44" s="251"/>
      <c r="H44" s="251"/>
      <c r="I44" s="251"/>
      <c r="J44" s="251"/>
      <c r="K44" s="251"/>
      <c r="L44" s="251"/>
    </row>
    <row r="45" spans="1:17">
      <c r="D45" s="251">
        <f>D38-D37</f>
        <v>6135</v>
      </c>
      <c r="E45" s="251"/>
      <c r="F45" s="251"/>
      <c r="G45" s="251">
        <f>G38-G37</f>
        <v>-1677</v>
      </c>
      <c r="H45" s="251"/>
      <c r="I45" s="251"/>
      <c r="J45" s="251">
        <f>J38-J37</f>
        <v>23481</v>
      </c>
      <c r="K45" s="251"/>
      <c r="L45" s="251"/>
    </row>
    <row r="46" spans="1:17">
      <c r="D46" s="251"/>
      <c r="E46" s="251"/>
      <c r="F46" s="251"/>
      <c r="G46" s="251"/>
      <c r="H46" s="251"/>
      <c r="I46" s="251"/>
      <c r="J46" s="251"/>
      <c r="K46" s="251"/>
      <c r="L46" s="251"/>
    </row>
    <row r="47" spans="1:17">
      <c r="D47" s="251"/>
      <c r="E47" s="251"/>
      <c r="F47" s="251"/>
      <c r="G47" s="251"/>
      <c r="H47" s="251"/>
      <c r="I47" s="251"/>
      <c r="J47" s="251"/>
      <c r="K47" s="251"/>
      <c r="L47" s="251"/>
    </row>
    <row r="48" spans="1:17">
      <c r="D48" s="251"/>
      <c r="E48" s="251"/>
      <c r="F48" s="251"/>
      <c r="G48" s="251"/>
      <c r="H48" s="251"/>
      <c r="I48" s="251"/>
      <c r="J48" s="251"/>
      <c r="K48" s="251"/>
      <c r="L48" s="251"/>
    </row>
    <row r="49" spans="4:12">
      <c r="D49" s="251"/>
      <c r="E49" s="251"/>
      <c r="F49" s="251"/>
      <c r="G49" s="251"/>
      <c r="H49" s="251"/>
      <c r="I49" s="251"/>
      <c r="J49" s="251"/>
      <c r="K49" s="251"/>
      <c r="L49" s="251"/>
    </row>
    <row r="50" spans="4:12">
      <c r="D50" s="251"/>
      <c r="E50" s="251"/>
      <c r="F50" s="251"/>
      <c r="G50" s="251"/>
      <c r="H50" s="251"/>
      <c r="I50" s="251"/>
      <c r="J50" s="251"/>
      <c r="K50" s="251"/>
      <c r="L50" s="251"/>
    </row>
    <row r="51" spans="4:12">
      <c r="D51" s="251"/>
      <c r="E51" s="251"/>
      <c r="F51" s="251"/>
      <c r="G51" s="251"/>
      <c r="H51" s="251"/>
      <c r="I51" s="251"/>
      <c r="J51" s="251"/>
      <c r="K51" s="251"/>
      <c r="L51" s="251"/>
    </row>
    <row r="52" spans="4:12">
      <c r="D52" s="251"/>
      <c r="E52" s="251"/>
      <c r="F52" s="251"/>
      <c r="G52" s="251"/>
      <c r="H52" s="251"/>
      <c r="I52" s="251"/>
      <c r="J52" s="251"/>
      <c r="K52" s="251"/>
      <c r="L52" s="251"/>
    </row>
    <row r="53" spans="4:12">
      <c r="D53" s="251"/>
      <c r="E53" s="251"/>
      <c r="F53" s="251"/>
      <c r="G53" s="251"/>
      <c r="H53" s="251"/>
      <c r="I53" s="251"/>
      <c r="J53" s="251"/>
      <c r="K53" s="251"/>
      <c r="L53" s="251"/>
    </row>
    <row r="54" spans="4:12">
      <c r="D54" s="251"/>
      <c r="E54" s="251"/>
      <c r="F54" s="251"/>
      <c r="G54" s="251"/>
      <c r="H54" s="251"/>
      <c r="I54" s="251"/>
      <c r="J54" s="251"/>
      <c r="K54" s="251"/>
      <c r="L54" s="251"/>
    </row>
    <row r="55" spans="4:12">
      <c r="D55" s="251"/>
      <c r="E55" s="251"/>
      <c r="F55" s="251"/>
      <c r="G55" s="251"/>
      <c r="H55" s="251"/>
      <c r="I55" s="251"/>
      <c r="J55" s="251"/>
      <c r="K55" s="251"/>
      <c r="L55" s="251"/>
    </row>
    <row r="56" spans="4:12">
      <c r="D56" s="251"/>
      <c r="E56" s="251"/>
      <c r="F56" s="251"/>
      <c r="G56" s="251"/>
      <c r="H56" s="251"/>
      <c r="I56" s="251"/>
      <c r="J56" s="251"/>
      <c r="K56" s="251"/>
      <c r="L56" s="251"/>
    </row>
    <row r="57" spans="4:12">
      <c r="D57" s="251"/>
      <c r="E57" s="251"/>
      <c r="F57" s="251"/>
      <c r="G57" s="251"/>
      <c r="H57" s="251"/>
      <c r="I57" s="251"/>
      <c r="J57" s="251"/>
      <c r="K57" s="251"/>
      <c r="L57" s="251"/>
    </row>
    <row r="58" spans="4:12">
      <c r="D58" s="251"/>
      <c r="E58" s="251"/>
      <c r="F58" s="251"/>
      <c r="G58" s="251"/>
      <c r="H58" s="251"/>
      <c r="I58" s="251"/>
      <c r="J58" s="251"/>
      <c r="K58" s="251"/>
      <c r="L58" s="251"/>
    </row>
    <row r="59" spans="4:12">
      <c r="D59" s="251"/>
      <c r="E59" s="251"/>
      <c r="F59" s="251"/>
      <c r="G59" s="251"/>
      <c r="H59" s="251"/>
      <c r="I59" s="251"/>
      <c r="J59" s="251"/>
      <c r="K59" s="251"/>
      <c r="L59" s="251"/>
    </row>
    <row r="60" spans="4:12">
      <c r="D60" s="251"/>
      <c r="E60" s="251"/>
      <c r="F60" s="251"/>
      <c r="G60" s="251"/>
      <c r="H60" s="251"/>
      <c r="I60" s="251"/>
      <c r="J60" s="251"/>
      <c r="K60" s="251"/>
      <c r="L60" s="251"/>
    </row>
    <row r="61" spans="4:12">
      <c r="D61" s="251"/>
      <c r="E61" s="251"/>
      <c r="F61" s="251"/>
      <c r="G61" s="251"/>
      <c r="H61" s="251"/>
      <c r="I61" s="251"/>
      <c r="J61" s="251"/>
      <c r="K61" s="251"/>
      <c r="L61" s="251"/>
    </row>
    <row r="62" spans="4:12">
      <c r="D62" s="251"/>
      <c r="E62" s="251"/>
      <c r="F62" s="251"/>
      <c r="G62" s="251"/>
      <c r="H62" s="251"/>
      <c r="I62" s="251"/>
      <c r="J62" s="251"/>
      <c r="K62" s="251"/>
      <c r="L62" s="251"/>
    </row>
    <row r="63" spans="4:12">
      <c r="D63" s="251"/>
      <c r="E63" s="251"/>
      <c r="F63" s="251"/>
      <c r="G63" s="251"/>
      <c r="H63" s="251"/>
      <c r="I63" s="251"/>
      <c r="J63" s="251"/>
      <c r="K63" s="251"/>
      <c r="L63" s="251"/>
    </row>
    <row r="64" spans="4:12">
      <c r="D64" s="251"/>
      <c r="E64" s="251"/>
      <c r="F64" s="251"/>
      <c r="G64" s="251"/>
      <c r="H64" s="251"/>
      <c r="I64" s="251"/>
      <c r="J64" s="251"/>
      <c r="K64" s="251"/>
    </row>
    <row r="65" spans="4:11">
      <c r="D65" s="251"/>
      <c r="E65" s="251"/>
      <c r="F65" s="251"/>
      <c r="G65" s="251"/>
      <c r="H65" s="251"/>
      <c r="I65" s="251"/>
      <c r="J65" s="251"/>
      <c r="K65" s="251"/>
    </row>
    <row r="66" spans="4:11">
      <c r="D66" s="251"/>
      <c r="E66" s="251"/>
      <c r="F66" s="251"/>
      <c r="G66" s="251"/>
      <c r="H66" s="251"/>
      <c r="I66" s="251"/>
      <c r="J66" s="251"/>
      <c r="K66" s="251"/>
    </row>
    <row r="67" spans="4:11">
      <c r="D67" s="251"/>
      <c r="E67" s="251"/>
      <c r="F67" s="251"/>
      <c r="G67" s="251"/>
      <c r="H67" s="251"/>
      <c r="I67" s="251"/>
      <c r="J67" s="251"/>
      <c r="K67" s="251"/>
    </row>
    <row r="68" spans="4:11">
      <c r="D68" s="251"/>
      <c r="E68" s="251"/>
      <c r="F68" s="251"/>
      <c r="G68" s="251"/>
      <c r="H68" s="251"/>
      <c r="I68" s="251"/>
      <c r="J68" s="251"/>
      <c r="K68" s="251"/>
    </row>
    <row r="69" spans="4:11">
      <c r="D69" s="251"/>
      <c r="E69" s="251"/>
      <c r="F69" s="251"/>
      <c r="G69" s="251"/>
      <c r="H69" s="251"/>
      <c r="I69" s="251"/>
      <c r="J69" s="251"/>
      <c r="K69" s="251"/>
    </row>
    <row r="70" spans="4:11">
      <c r="D70" s="251"/>
      <c r="E70" s="251"/>
      <c r="F70" s="251"/>
      <c r="G70" s="251"/>
      <c r="H70" s="251"/>
      <c r="I70" s="251"/>
      <c r="J70" s="251"/>
      <c r="K70" s="251"/>
    </row>
    <row r="71" spans="4:11">
      <c r="D71" s="251"/>
      <c r="E71" s="251"/>
      <c r="F71" s="251"/>
      <c r="G71" s="251"/>
      <c r="H71" s="251"/>
      <c r="I71" s="251"/>
      <c r="J71" s="251"/>
      <c r="K71" s="251"/>
    </row>
    <row r="72" spans="4:11">
      <c r="D72" s="251"/>
      <c r="E72" s="251"/>
      <c r="F72" s="251"/>
      <c r="G72" s="251"/>
      <c r="H72" s="251"/>
      <c r="I72" s="251"/>
      <c r="J72" s="251"/>
      <c r="K72" s="251"/>
    </row>
    <row r="73" spans="4:11">
      <c r="D73" s="251"/>
      <c r="E73" s="251"/>
      <c r="F73" s="251"/>
      <c r="G73" s="251"/>
      <c r="H73" s="251"/>
      <c r="I73" s="251"/>
      <c r="J73" s="251"/>
      <c r="K73" s="251"/>
    </row>
    <row r="74" spans="4:11">
      <c r="D74" s="251"/>
      <c r="E74" s="251"/>
      <c r="F74" s="251"/>
      <c r="G74" s="251"/>
      <c r="H74" s="251"/>
      <c r="I74" s="251"/>
      <c r="J74" s="251"/>
      <c r="K74" s="251"/>
    </row>
    <row r="75" spans="4:11">
      <c r="D75" s="251"/>
      <c r="E75" s="251"/>
      <c r="F75" s="251"/>
      <c r="G75" s="251"/>
      <c r="H75" s="251"/>
      <c r="I75" s="251"/>
      <c r="J75" s="251"/>
      <c r="K75" s="251"/>
    </row>
    <row r="76" spans="4:11">
      <c r="D76" s="251"/>
      <c r="E76" s="251"/>
      <c r="F76" s="251"/>
      <c r="G76" s="251"/>
      <c r="H76" s="251"/>
      <c r="I76" s="251"/>
      <c r="J76" s="251"/>
      <c r="K76" s="251"/>
    </row>
    <row r="77" spans="4:11">
      <c r="D77" s="251"/>
      <c r="E77" s="251"/>
      <c r="F77" s="251"/>
      <c r="G77" s="251"/>
      <c r="H77" s="251"/>
      <c r="I77" s="251"/>
      <c r="J77" s="251"/>
      <c r="K77" s="251"/>
    </row>
    <row r="78" spans="4:11">
      <c r="D78" s="251"/>
      <c r="E78" s="251"/>
      <c r="F78" s="251"/>
      <c r="G78" s="251"/>
      <c r="H78" s="251"/>
      <c r="I78" s="251"/>
      <c r="J78" s="251"/>
      <c r="K78" s="251"/>
    </row>
    <row r="79" spans="4:11">
      <c r="D79" s="251"/>
      <c r="E79" s="251"/>
      <c r="F79" s="251"/>
      <c r="G79" s="251"/>
      <c r="H79" s="251"/>
      <c r="I79" s="251"/>
      <c r="J79" s="251"/>
      <c r="K79" s="251"/>
    </row>
    <row r="80" spans="4:11">
      <c r="D80" s="251"/>
      <c r="E80" s="251"/>
      <c r="F80" s="251"/>
      <c r="G80" s="251"/>
      <c r="H80" s="251"/>
      <c r="I80" s="251"/>
      <c r="J80" s="251"/>
      <c r="K80" s="251"/>
    </row>
    <row r="81" spans="4:11">
      <c r="D81" s="251"/>
      <c r="E81" s="251"/>
      <c r="F81" s="251"/>
      <c r="G81" s="251"/>
      <c r="H81" s="251"/>
      <c r="I81" s="251"/>
      <c r="J81" s="251"/>
      <c r="K81" s="251"/>
    </row>
    <row r="82" spans="4:11">
      <c r="D82" s="251"/>
      <c r="E82" s="251"/>
      <c r="F82" s="251"/>
      <c r="G82" s="251"/>
      <c r="H82" s="251"/>
      <c r="I82" s="251"/>
      <c r="J82" s="251"/>
      <c r="K82" s="251"/>
    </row>
    <row r="83" spans="4:11">
      <c r="D83" s="251"/>
      <c r="E83" s="251"/>
      <c r="F83" s="251"/>
      <c r="G83" s="251"/>
      <c r="H83" s="251"/>
      <c r="I83" s="251"/>
      <c r="J83" s="251"/>
      <c r="K83" s="251"/>
    </row>
    <row r="84" spans="4:11">
      <c r="D84" s="251"/>
      <c r="E84" s="251"/>
      <c r="F84" s="251"/>
      <c r="G84" s="251"/>
      <c r="H84" s="251"/>
      <c r="I84" s="251"/>
      <c r="J84" s="251"/>
      <c r="K84" s="251"/>
    </row>
    <row r="85" spans="4:11">
      <c r="D85" s="251"/>
      <c r="E85" s="251"/>
      <c r="F85" s="251"/>
      <c r="G85" s="251"/>
      <c r="H85" s="251"/>
      <c r="I85" s="251"/>
      <c r="J85" s="251"/>
      <c r="K85" s="251"/>
    </row>
    <row r="86" spans="4:11">
      <c r="D86" s="251"/>
      <c r="E86" s="251"/>
      <c r="F86" s="251"/>
      <c r="G86" s="251"/>
      <c r="H86" s="251"/>
      <c r="I86" s="251"/>
      <c r="J86" s="251"/>
      <c r="K86" s="251"/>
    </row>
    <row r="87" spans="4:11">
      <c r="D87" s="251"/>
      <c r="E87" s="251"/>
      <c r="F87" s="251"/>
      <c r="G87" s="251"/>
      <c r="H87" s="251"/>
      <c r="I87" s="251"/>
      <c r="J87" s="251"/>
      <c r="K87" s="251"/>
    </row>
  </sheetData>
  <mergeCells count="6">
    <mergeCell ref="G3:I3"/>
    <mergeCell ref="J3:L3"/>
    <mergeCell ref="A3:A4"/>
    <mergeCell ref="B3:B4"/>
    <mergeCell ref="C3:C4"/>
    <mergeCell ref="D3:F3"/>
  </mergeCells>
  <phoneticPr fontId="6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Zakresy nazwane</vt:lpstr>
      </vt:variant>
      <vt:variant>
        <vt:i4>28</vt:i4>
      </vt:variant>
    </vt:vector>
  </HeadingPairs>
  <TitlesOfParts>
    <vt:vector size="57" baseType="lpstr">
      <vt:lpstr>T1 wodociag 2022-2026</vt:lpstr>
      <vt:lpstr>T2 kanalizacja 2022-2026</vt:lpstr>
      <vt:lpstr>T3 WPI 2022-2026</vt:lpstr>
      <vt:lpstr>Załącznik B przepływy</vt:lpstr>
      <vt:lpstr>Tabela nr 3 zbiorcza</vt:lpstr>
      <vt:lpstr>T3A do uchwały 21.05.2015</vt:lpstr>
      <vt:lpstr>T3A do uchwały 21.05.2015 (2)</vt:lpstr>
      <vt:lpstr>Wyliczenia Polna</vt:lpstr>
      <vt:lpstr>Tabela A porówn. planów</vt:lpstr>
      <vt:lpstr>Tabela nr 4 new</vt:lpstr>
      <vt:lpstr>T4 WPI 2022-2026</vt:lpstr>
      <vt:lpstr>Pokrycia</vt:lpstr>
      <vt:lpstr>Zał. A Porównanie</vt:lpstr>
      <vt:lpstr>Załącznik D NIE</vt:lpstr>
      <vt:lpstr>Załącznik Dnew</vt:lpstr>
      <vt:lpstr>Załącznik C</vt:lpstr>
      <vt:lpstr>Tab. 3 Porównanie</vt:lpstr>
      <vt:lpstr>pożyczki.dotacje</vt:lpstr>
      <vt:lpstr>Arkusz2</vt:lpstr>
      <vt:lpstr>Arkusz3</vt:lpstr>
      <vt:lpstr>tabele do tekstu</vt:lpstr>
      <vt:lpstr>Amortyzacja</vt:lpstr>
      <vt:lpstr>Arkusz7</vt:lpstr>
      <vt:lpstr>WPI_23-08-2016</vt:lpstr>
      <vt:lpstr>Arkusz1</vt:lpstr>
      <vt:lpstr>pożyczka WFOŚiGW - prognoza</vt:lpstr>
      <vt:lpstr>Arkusz4</vt:lpstr>
      <vt:lpstr>Arkusz5</vt:lpstr>
      <vt:lpstr>Arkusz6</vt:lpstr>
      <vt:lpstr>Amortyzacja!Obszar_wydruku</vt:lpstr>
      <vt:lpstr>'pożyczka WFOŚiGW - prognoza'!Obszar_wydruku</vt:lpstr>
      <vt:lpstr>pożyczki.dotacje!Obszar_wydruku</vt:lpstr>
      <vt:lpstr>'T1 wodociag 2022-2026'!Obszar_wydruku</vt:lpstr>
      <vt:lpstr>'T2 kanalizacja 2022-2026'!Obszar_wydruku</vt:lpstr>
      <vt:lpstr>'T3 WPI 2022-2026'!Obszar_wydruku</vt:lpstr>
      <vt:lpstr>'T3A do uchwały 21.05.2015'!Obszar_wydruku</vt:lpstr>
      <vt:lpstr>'T3A do uchwały 21.05.2015 (2)'!Obszar_wydruku</vt:lpstr>
      <vt:lpstr>'T4 WPI 2022-2026'!Obszar_wydruku</vt:lpstr>
      <vt:lpstr>'Tab. 3 Porównanie'!Obszar_wydruku</vt:lpstr>
      <vt:lpstr>'Tabela A porówn. planów'!Obszar_wydruku</vt:lpstr>
      <vt:lpstr>'Tabela nr 3 zbiorcza'!Obszar_wydruku</vt:lpstr>
      <vt:lpstr>'Tabela nr 4 new'!Obszar_wydruku</vt:lpstr>
      <vt:lpstr>'WPI_23-08-2016'!Obszar_wydruku</vt:lpstr>
      <vt:lpstr>'Wyliczenia Polna'!Obszar_wydruku</vt:lpstr>
      <vt:lpstr>'Zał. A Porównanie'!Obszar_wydruku</vt:lpstr>
      <vt:lpstr>'Załącznik B przepływy'!Obszar_wydruku</vt:lpstr>
      <vt:lpstr>'Załącznik C'!Obszar_wydruku</vt:lpstr>
      <vt:lpstr>'Załącznik D NIE'!Obszar_wydruku</vt:lpstr>
      <vt:lpstr>'Załącznik Dnew'!Obszar_wydruku</vt:lpstr>
      <vt:lpstr>'T1 wodociag 2022-2026'!Tytuły_wydruku</vt:lpstr>
      <vt:lpstr>'T2 kanalizacja 2022-2026'!Tytuły_wydruku</vt:lpstr>
      <vt:lpstr>'T3 WPI 2022-2026'!Tytuły_wydruku</vt:lpstr>
      <vt:lpstr>'T3A do uchwały 21.05.2015'!Tytuły_wydruku</vt:lpstr>
      <vt:lpstr>'T3A do uchwały 21.05.2015 (2)'!Tytuły_wydruku</vt:lpstr>
      <vt:lpstr>'Tab. 3 Porównanie'!Tytuły_wydruku</vt:lpstr>
      <vt:lpstr>'WPI_23-08-2016'!Tytuły_wydruku</vt:lpstr>
      <vt:lpstr>'Załącznik B przepływy'!Tytuły_wydruku</vt:lpstr>
    </vt:vector>
  </TitlesOfParts>
  <Manager>Alicja Krymska</Manager>
  <Company>Toruńskie Wodociągi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 PLAN ROZWOJU I MODERNIZACJI NA LATA 2012 - 2015</dc:title>
  <dc:subject>Plany Wieloletni</dc:subject>
  <dc:creator>SdsP Bartłomiej Krajewski</dc:creator>
  <dc:description>Werska 17.1 uwzględniająca uwagi EG</dc:description>
  <cp:lastModifiedBy>b.czerwonka</cp:lastModifiedBy>
  <cp:lastPrinted>2022-03-07T07:38:56Z</cp:lastPrinted>
  <dcterms:created xsi:type="dcterms:W3CDTF">2002-08-28T11:01:15Z</dcterms:created>
  <dcterms:modified xsi:type="dcterms:W3CDTF">2022-03-14T13:08:13Z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y">
    <vt:lpwstr/>
  </property>
  <property fmtid="{D5CDD505-2E9C-101B-9397-08002B2CF9AE}" pid="3" name="ContentType">
    <vt:lpwstr>Dokument</vt:lpwstr>
  </property>
</Properties>
</file>